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96" firstSheet="1" activeTab="0"/>
  </bookViews>
  <sheets>
    <sheet name="1. ASTRA Investeerimiskulud" sheetId="1" r:id="rId1"/>
    <sheet name="2. ASTRA Tegevustulud ja -kulud" sheetId="2" r:id="rId2"/>
    <sheet name="3. ASTRA Lisa 3 Finantsanalüüs" sheetId="3" r:id="rId3"/>
    <sheet name="4. ASTRA Rahastamisallikad" sheetId="4" r:id="rId4"/>
    <sheet name="5. Riikliku kapitali tulukus" sheetId="5" r:id="rId5"/>
    <sheet name="6. Rahaline jätkusuutlikkus" sheetId="6" r:id="rId6"/>
  </sheets>
  <definedNames/>
  <calcPr fullCalcOnLoad="1"/>
</workbook>
</file>

<file path=xl/sharedStrings.xml><?xml version="1.0" encoding="utf-8"?>
<sst xmlns="http://schemas.openxmlformats.org/spreadsheetml/2006/main" count="172" uniqueCount="106">
  <si>
    <t>Investeerimiskulud kokku (tuhat eurot) - täisstsenaarium</t>
  </si>
  <si>
    <t>Investeerimiskulud</t>
  </si>
  <si>
    <t>Hooned</t>
  </si>
  <si>
    <t>Alginvesteering:</t>
  </si>
  <si>
    <t>Asendamiskulud</t>
  </si>
  <si>
    <t>Jääkväärtus</t>
  </si>
  <si>
    <t>Investeerimiskulud kokku:</t>
  </si>
  <si>
    <t>Kokku</t>
  </si>
  <si>
    <t>Aasta</t>
  </si>
  <si>
    <t>Investeerimiskulud kokku (tuhat eurot) - nullstsenaarium</t>
  </si>
  <si>
    <t>Tegevustulud ja -kulud (tuhat eurot) - täisstsenaarium</t>
  </si>
  <si>
    <t>Tegevustulud ja -kulud (tuhat eurot) - nullstsenaarium</t>
  </si>
  <si>
    <t>Tulud/kulud</t>
  </si>
  <si>
    <t>Tulud kokku:</t>
  </si>
  <si>
    <t>…</t>
  </si>
  <si>
    <t>Tegevuskulud kokku:</t>
  </si>
  <si>
    <t>Puhastulu:</t>
  </si>
  <si>
    <t>http://www.struktuurifondid.ee/public/Juhend_tulu_teenivatele_projektidele_2014-2020_mai_2015.pdf</t>
  </si>
  <si>
    <t>http://www.struktuurifondid.ee/public/Tulude-kulude_analuusi_juhend_2014-2020_Detsember_2014_tolgitud_ET.pdf</t>
  </si>
  <si>
    <t>1. Tulu teenivate projektide juhend programmperioodil 2014-2020 lk 16-21</t>
  </si>
  <si>
    <t>Viited kasutatud metoodikale:</t>
  </si>
  <si>
    <t>2. Guide to Cost-benefit Analysis of Investment Projects. Euroopa Komisjoni juhendi osaline tõlge, December 2014. lk 35-36</t>
  </si>
  <si>
    <t>2. Guide to Cost-benefit Analysis of Investment Projects. Euroopa Komisjoni juhendi osaline tõlge, December 2014. lk 36-38</t>
  </si>
  <si>
    <t>(diskonteeritud)</t>
  </si>
  <si>
    <t>Diskonto määr</t>
  </si>
  <si>
    <t>Diskonteeri-tud väärtused</t>
  </si>
  <si>
    <t>Diskontee-rimata väärtused</t>
  </si>
  <si>
    <t xml:space="preserve">Projekti elluviimiseks vajalik kogukulu, </t>
  </si>
  <si>
    <t xml:space="preserve">        millest projekti kogu abikõlblik kulu (EC)</t>
  </si>
  <si>
    <t>Euroopa Liidu toetuse määr (CR)</t>
  </si>
  <si>
    <t xml:space="preserve">Projekti elluviimiseks vajalik diskonteeritud kogukulu (DIC) </t>
  </si>
  <si>
    <t>Diskonteeritud puhastulu (DNR)</t>
  </si>
  <si>
    <t>1) Finantseerimisvajaku määra leidmine</t>
  </si>
  <si>
    <t xml:space="preserve">Max EE = DIC – DNR = </t>
  </si>
  <si>
    <t>R = Max EE/DIC =</t>
  </si>
  <si>
    <t xml:space="preserve">2) Toetuse rahuldamise otsusesse märgitav projekti vähendatud abikõlblik kulu </t>
  </si>
  <si>
    <t>DA = EC×R =</t>
  </si>
  <si>
    <t>3) Euroopa Liidu toetuse summa leidmine</t>
  </si>
  <si>
    <t>EU grant = DA×CR =</t>
  </si>
  <si>
    <t>http://www.struktuurifondid.ee/public/Finantsanaluusi_arvutuslik_naide_juhendi_Lisa_3_naide.xls</t>
  </si>
  <si>
    <t>2. Guide to Cost-benefit Analysis of Investment Projects. Euroopa Komisjoni juhendi osaline tõlge, December 2014. lk 39</t>
  </si>
  <si>
    <t>Rahastamisallikad (tuhat eurot)</t>
  </si>
  <si>
    <t>Rahastamisallikad</t>
  </si>
  <si>
    <t>2. Guide to Cost-benefit Analysis of Investment Projects. Euroopa Komisjoni juhendi osaline tõlge, December 2014. lk 39-40</t>
  </si>
  <si>
    <t>2. Guide to Cost-benefit Analysis of Investment Projects. Euroopa Komisjoni juhendi osaline tõlge, December 2014. lk 41-42</t>
  </si>
  <si>
    <t>2. Guide to Cost-benefit Analysis of Investment Projects. Euroopa Komisjoni juhendi osaline tõlge, December 2014. lk 42-43</t>
  </si>
  <si>
    <t>Seadmed (kiirabiauto simulatsioon)</t>
  </si>
  <si>
    <t>Täienduskoolitus</t>
  </si>
  <si>
    <t>Tööjõukulud (sim tehnik)</t>
  </si>
  <si>
    <t>Tööjõukulud koristamine</t>
  </si>
  <si>
    <t>Praktikakulud</t>
  </si>
  <si>
    <t>Juurdeehitus</t>
  </si>
  <si>
    <t>Sahver,tehnoloogiamoodul</t>
  </si>
  <si>
    <t>Asendamiskulud hoone</t>
  </si>
  <si>
    <t>Asendamiskulud seadmed</t>
  </si>
  <si>
    <t>Asendamiskulud sahver, tehnoloogia moodul</t>
  </si>
  <si>
    <t>Investeerimiskulud täis- ja nullstsenaariumi puhul</t>
  </si>
  <si>
    <t>26-51</t>
  </si>
  <si>
    <t>perioodil planeeritavad tulud ja kulud, mis on liidetud finantsanalüüsi arvestusperioodi 25.-le aastale</t>
  </si>
  <si>
    <t>(ehitatakse välja kiirabi simulatsioon ja tehnoloogiamoodul)</t>
  </si>
  <si>
    <t>(kasutatakse praktibaase simulatsiooni ja tehnoloogilise õppe saamiseks - TTK ise investeerimiskulusid nullstsenaariumi puhul ei tee)</t>
  </si>
  <si>
    <t>Tegevustulud ja -kulud täis- ja nullstsenaariumi puhul</t>
  </si>
  <si>
    <t>Sim praktika spetsialist</t>
  </si>
  <si>
    <t>ASTRA meetme toetus 95%</t>
  </si>
  <si>
    <t>TTK omafinantseering 5%</t>
  </si>
  <si>
    <t>Vahendid kokku:</t>
  </si>
  <si>
    <t>Avaliku sektori (ASTRA meede) toetus 95%</t>
  </si>
  <si>
    <t xml:space="preserve">(diskonteeritud) </t>
  </si>
  <si>
    <t>FRR(C)=</t>
  </si>
  <si>
    <t>FRR(K)=</t>
  </si>
  <si>
    <t>läheneb max lõpmatusele</t>
  </si>
  <si>
    <t>Kokku FNPV(C)=</t>
  </si>
  <si>
    <t>Kokku FNPV(K)=</t>
  </si>
  <si>
    <t>Rahaline jätkusuutlikkus</t>
  </si>
  <si>
    <t>Rahaline jätkusuutlikkus (tuhat eurot)</t>
  </si>
  <si>
    <t>Alginvesteeringud</t>
  </si>
  <si>
    <t>Asenduskulud</t>
  </si>
  <si>
    <t>Sissetulekud kokku:</t>
  </si>
  <si>
    <t>Väljaminekud kokku:</t>
  </si>
  <si>
    <t>Puhas rahavoog:</t>
  </si>
  <si>
    <t>Kumulatiivne netorahavoog:</t>
  </si>
  <si>
    <t>Rahastamisallikad (ASTRA+TTK omafin)</t>
  </si>
  <si>
    <t>Kokkuhoid praktika kuludelt</t>
  </si>
  <si>
    <t>Tegevuskulu juurdekasvuline
(täisstsenaarium-nullstsenaarium)</t>
  </si>
  <si>
    <t>Investeerimis- kulu
juurdekasvuline
(täisstsenaarium-nullstsenaarium)</t>
  </si>
  <si>
    <t>Tulu
juurdekasvuline
juurdekasvuline
(täisstsenaarium-nullstsenaarium)</t>
  </si>
  <si>
    <t>Jääkväärtus
juurdekasvuline
(täisstsenaarium-nullstsenaarium)</t>
  </si>
  <si>
    <t>Puhaskäive
juurdekasvuline
(täisstsenaarium-nullstsenaarium)</t>
  </si>
  <si>
    <t>Investeerimiskulud, tulud ja tegevuskulud on määratletud kindlaks juurdekasvulist meetodit rakendades  - täisstsenaariumist lahutatakse nullstsenaarium.</t>
  </si>
  <si>
    <t>TTK omafinantsee-ring 5%</t>
  </si>
  <si>
    <t>Riikliku kapitali tulukust on arvutatud juurdekasvulist meetodit rakendades  - täisstsenaariumist lahutatakse nullstsenaarium.</t>
  </si>
  <si>
    <t>Riiklik.teg.toetus ja sihtfin</t>
  </si>
  <si>
    <r>
      <t xml:space="preserve">Finantsanalüüs </t>
    </r>
    <r>
      <rPr>
        <sz val="12"/>
        <color indexed="8"/>
        <rFont val="Calibri"/>
        <family val="2"/>
      </rPr>
      <t>(tuhat eurot)</t>
    </r>
  </si>
  <si>
    <r>
      <t>Riikliku kapitali tulukus</t>
    </r>
    <r>
      <rPr>
        <sz val="12"/>
        <color indexed="8"/>
        <rFont val="Calibri"/>
        <family val="2"/>
      </rPr>
      <t xml:space="preserve"> (tuhat eurot)</t>
    </r>
  </si>
  <si>
    <t>Täienduskoolituse maht (h)</t>
  </si>
  <si>
    <t>Täienduskoolituse hind (€/h)</t>
  </si>
  <si>
    <t>Tulud täiendkoolitusest</t>
  </si>
  <si>
    <t>Tulud täienduskoolitus (koostöö tugevdamine teadus- ja arendusasutuste, kõrgkoolide ja ettevõtete vahel)</t>
  </si>
  <si>
    <t>Täienduskoolituse keskmine hind (€/h)</t>
  </si>
  <si>
    <t>Kohvikuga seotud kulud</t>
  </si>
  <si>
    <t>Teenus- tulud kohviku kasutamise eest</t>
  </si>
  <si>
    <t>Lektorite ja täiendkoolituse korraldajate palgakulu</t>
  </si>
  <si>
    <t>Täienduskoolituste toitlustamine</t>
  </si>
  <si>
    <t>Täienduskoolituste turunduskulud</t>
  </si>
  <si>
    <t>Täienduskoolituste majanduskulu</t>
  </si>
  <si>
    <t>Kommunaalkulu (lisanduvad püsikulud)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</si>
</sst>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[Red]\-#,##0\ "/>
    <numFmt numFmtId="181" formatCode="#,##0\ _k_r"/>
    <numFmt numFmtId="182" formatCode="_-[$€-2]\ * #,##0.00_-;\-[$€-2]\ * #,##0.00_-;_-[$€-2]\ * &quot;-&quot;??_-;_-@_-"/>
    <numFmt numFmtId="183" formatCode="#,##0_ ;\-#,##0\ "/>
    <numFmt numFmtId="184" formatCode="#,##0.0"/>
    <numFmt numFmtId="185" formatCode="mmm/yyyy"/>
    <numFmt numFmtId="186" formatCode="#,##0.000"/>
    <numFmt numFmtId="187" formatCode="#,##0.0000"/>
    <numFmt numFmtId="188" formatCode="#,##0.00000"/>
    <numFmt numFmtId="18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0" borderId="9" applyNumberFormat="0" applyAlignment="0" applyProtection="0"/>
  </cellStyleXfs>
  <cellXfs count="1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33" borderId="0" xfId="0" applyNumberFormat="1" applyFont="1" applyFill="1" applyAlignment="1">
      <alignment/>
    </xf>
    <xf numFmtId="4" fontId="0" fillId="15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/>
    </xf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0" fillId="8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180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80" fontId="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vertical="top" wrapText="1"/>
    </xf>
    <xf numFmtId="9" fontId="0" fillId="33" borderId="10" xfId="0" applyNumberFormat="1" applyFont="1" applyFill="1" applyBorder="1" applyAlignment="1">
      <alignment vertical="top" wrapText="1"/>
    </xf>
    <xf numFmtId="0" fontId="0" fillId="8" borderId="10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3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vertical="top" wrapText="1"/>
    </xf>
    <xf numFmtId="9" fontId="0" fillId="35" borderId="0" xfId="0" applyNumberFormat="1" applyFont="1" applyFill="1" applyAlignment="1">
      <alignment/>
    </xf>
    <xf numFmtId="10" fontId="45" fillId="34" borderId="0" xfId="0" applyNumberFormat="1" applyFont="1" applyFill="1" applyAlignment="1">
      <alignment/>
    </xf>
    <xf numFmtId="0" fontId="31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0" fontId="0" fillId="35" borderId="0" xfId="52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180" fontId="0" fillId="35" borderId="0" xfId="0" applyNumberFormat="1" applyFont="1" applyFill="1" applyBorder="1" applyAlignment="1">
      <alignment vertical="top"/>
    </xf>
    <xf numFmtId="186" fontId="48" fillId="35" borderId="0" xfId="0" applyNumberFormat="1" applyFont="1" applyFill="1" applyBorder="1" applyAlignment="1">
      <alignment/>
    </xf>
    <xf numFmtId="184" fontId="25" fillId="35" borderId="0" xfId="0" applyNumberFormat="1" applyFont="1" applyFill="1" applyAlignment="1">
      <alignment/>
    </xf>
    <xf numFmtId="3" fontId="25" fillId="35" borderId="0" xfId="0" applyNumberFormat="1" applyFont="1" applyFill="1" applyAlignment="1">
      <alignment/>
    </xf>
    <xf numFmtId="0" fontId="0" fillId="0" borderId="0" xfId="0" applyFill="1" applyAlignment="1">
      <alignment/>
    </xf>
    <xf numFmtId="188" fontId="25" fillId="3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25" fillId="35" borderId="13" xfId="34" applyNumberFormat="1" applyFont="1" applyFill="1" applyBorder="1" applyAlignment="1">
      <alignment/>
    </xf>
    <xf numFmtId="184" fontId="25" fillId="35" borderId="0" xfId="34" applyNumberFormat="1" applyFont="1" applyFill="1" applyBorder="1" applyAlignment="1">
      <alignment/>
    </xf>
    <xf numFmtId="184" fontId="0" fillId="0" borderId="10" xfId="0" applyNumberFormat="1" applyFont="1" applyBorder="1" applyAlignment="1">
      <alignment vertical="top" wrapText="1"/>
    </xf>
    <xf numFmtId="184" fontId="0" fillId="0" borderId="10" xfId="0" applyNumberFormat="1" applyFont="1" applyFill="1" applyBorder="1" applyAlignment="1">
      <alignment vertical="top" wrapText="1"/>
    </xf>
    <xf numFmtId="184" fontId="25" fillId="35" borderId="0" xfId="35" applyNumberFormat="1" applyFont="1" applyFill="1" applyBorder="1" applyAlignment="1">
      <alignment/>
    </xf>
    <xf numFmtId="184" fontId="25" fillId="35" borderId="13" xfId="35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8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2" borderId="0" xfId="0" applyFont="1" applyFill="1" applyBorder="1" applyAlignment="1">
      <alignment vertical="top"/>
    </xf>
    <xf numFmtId="0" fontId="0" fillId="35" borderId="0" xfId="0" applyFont="1" applyFill="1" applyBorder="1" applyAlignment="1">
      <alignment vertical="top"/>
    </xf>
    <xf numFmtId="3" fontId="0" fillId="35" borderId="16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86" fontId="0" fillId="35" borderId="13" xfId="0" applyNumberFormat="1" applyFont="1" applyFill="1" applyBorder="1" applyAlignment="1">
      <alignment/>
    </xf>
    <xf numFmtId="186" fontId="0" fillId="35" borderId="0" xfId="0" applyNumberFormat="1" applyFont="1" applyFill="1" applyBorder="1" applyAlignment="1">
      <alignment/>
    </xf>
    <xf numFmtId="1" fontId="0" fillId="35" borderId="13" xfId="0" applyNumberFormat="1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84" fontId="0" fillId="35" borderId="0" xfId="0" applyNumberFormat="1" applyFont="1" applyFill="1" applyAlignment="1">
      <alignment/>
    </xf>
    <xf numFmtId="184" fontId="30" fillId="35" borderId="13" xfId="35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33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184" fontId="0" fillId="2" borderId="0" xfId="0" applyNumberFormat="1" applyFont="1" applyFill="1" applyBorder="1" applyAlignment="1">
      <alignment/>
    </xf>
    <xf numFmtId="3" fontId="0" fillId="35" borderId="0" xfId="0" applyNumberFormat="1" applyFont="1" applyFill="1" applyAlignment="1">
      <alignment/>
    </xf>
    <xf numFmtId="184" fontId="0" fillId="35" borderId="13" xfId="0" applyNumberFormat="1" applyFont="1" applyFill="1" applyBorder="1" applyAlignment="1">
      <alignment/>
    </xf>
    <xf numFmtId="184" fontId="25" fillId="35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35" borderId="17" xfId="0" applyFont="1" applyFill="1" applyBorder="1" applyAlignment="1">
      <alignment/>
    </xf>
    <xf numFmtId="189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184" fontId="0" fillId="2" borderId="13" xfId="0" applyNumberFormat="1" applyFont="1" applyFill="1" applyBorder="1" applyAlignment="1">
      <alignment/>
    </xf>
    <xf numFmtId="0" fontId="33" fillId="2" borderId="18" xfId="0" applyFont="1" applyFill="1" applyBorder="1" applyAlignment="1">
      <alignment horizontal="right"/>
    </xf>
    <xf numFmtId="184" fontId="0" fillId="2" borderId="19" xfId="0" applyNumberFormat="1" applyFont="1" applyFill="1" applyBorder="1" applyAlignment="1">
      <alignment/>
    </xf>
    <xf numFmtId="184" fontId="0" fillId="2" borderId="20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4" borderId="0" xfId="0" applyFont="1" applyFill="1" applyAlignment="1">
      <alignment/>
    </xf>
    <xf numFmtId="3" fontId="0" fillId="35" borderId="13" xfId="0" applyNumberFormat="1" applyFont="1" applyFill="1" applyBorder="1" applyAlignment="1">
      <alignment/>
    </xf>
    <xf numFmtId="0" fontId="33" fillId="4" borderId="0" xfId="0" applyFont="1" applyFill="1" applyAlignment="1">
      <alignment horizontal="right"/>
    </xf>
    <xf numFmtId="3" fontId="0" fillId="4" borderId="0" xfId="0" applyNumberFormat="1" applyFont="1" applyFill="1" applyAlignment="1">
      <alignment/>
    </xf>
    <xf numFmtId="184" fontId="0" fillId="4" borderId="13" xfId="0" applyNumberFormat="1" applyFont="1" applyFill="1" applyBorder="1" applyAlignment="1">
      <alignment/>
    </xf>
    <xf numFmtId="184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33" fillId="4" borderId="18" xfId="0" applyFont="1" applyFill="1" applyBorder="1" applyAlignment="1">
      <alignment horizontal="right"/>
    </xf>
    <xf numFmtId="184" fontId="0" fillId="4" borderId="19" xfId="0" applyNumberFormat="1" applyFont="1" applyFill="1" applyBorder="1" applyAlignment="1">
      <alignment/>
    </xf>
    <xf numFmtId="184" fontId="0" fillId="4" borderId="20" xfId="0" applyNumberFormat="1" applyFont="1" applyFill="1" applyBorder="1" applyAlignment="1">
      <alignment/>
    </xf>
    <xf numFmtId="3" fontId="0" fillId="4" borderId="19" xfId="0" applyNumberFormat="1" applyFont="1" applyFill="1" applyBorder="1" applyAlignment="1">
      <alignment/>
    </xf>
    <xf numFmtId="3" fontId="25" fillId="35" borderId="13" xfId="0" applyNumberFormat="1" applyFont="1" applyFill="1" applyBorder="1" applyAlignment="1">
      <alignment/>
    </xf>
    <xf numFmtId="3" fontId="25" fillId="35" borderId="0" xfId="0" applyNumberFormat="1" applyFont="1" applyFill="1" applyBorder="1" applyAlignment="1">
      <alignment/>
    </xf>
    <xf numFmtId="3" fontId="25" fillId="2" borderId="0" xfId="0" applyNumberFormat="1" applyFont="1" applyFill="1" applyAlignment="1">
      <alignment/>
    </xf>
    <xf numFmtId="3" fontId="25" fillId="2" borderId="13" xfId="0" applyNumberFormat="1" applyFont="1" applyFill="1" applyBorder="1" applyAlignment="1">
      <alignment/>
    </xf>
    <xf numFmtId="3" fontId="25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wrapText="1"/>
    </xf>
    <xf numFmtId="3" fontId="0" fillId="2" borderId="20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0" fillId="4" borderId="20" xfId="0" applyNumberFormat="1" applyFont="1" applyFill="1" applyBorder="1" applyAlignment="1">
      <alignment/>
    </xf>
    <xf numFmtId="184" fontId="25" fillId="35" borderId="13" xfId="0" applyNumberFormat="1" applyFont="1" applyFill="1" applyBorder="1" applyAlignment="1">
      <alignment/>
    </xf>
    <xf numFmtId="0" fontId="0" fillId="8" borderId="13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3" fontId="25" fillId="35" borderId="16" xfId="0" applyNumberFormat="1" applyFont="1" applyFill="1" applyBorder="1" applyAlignment="1">
      <alignment/>
    </xf>
    <xf numFmtId="3" fontId="25" fillId="35" borderId="21" xfId="0" applyNumberFormat="1" applyFont="1" applyFill="1" applyBorder="1" applyAlignment="1">
      <alignment/>
    </xf>
    <xf numFmtId="3" fontId="25" fillId="35" borderId="22" xfId="0" applyNumberFormat="1" applyFont="1" applyFill="1" applyBorder="1" applyAlignment="1">
      <alignment/>
    </xf>
    <xf numFmtId="188" fontId="0" fillId="2" borderId="19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0" fontId="0" fillId="8" borderId="0" xfId="0" applyFont="1" applyFill="1" applyBorder="1" applyAlignment="1">
      <alignment horizontal="center" vertical="top"/>
    </xf>
    <xf numFmtId="0" fontId="0" fillId="8" borderId="15" xfId="0" applyFont="1" applyFill="1" applyBorder="1" applyAlignment="1">
      <alignment vertical="top"/>
    </xf>
    <xf numFmtId="0" fontId="0" fillId="8" borderId="0" xfId="0" applyFont="1" applyFill="1" applyBorder="1" applyAlignment="1">
      <alignment vertical="top"/>
    </xf>
    <xf numFmtId="0" fontId="0" fillId="10" borderId="0" xfId="0" applyFont="1" applyFill="1" applyBorder="1" applyAlignment="1">
      <alignment horizontal="center" vertical="top"/>
    </xf>
    <xf numFmtId="0" fontId="0" fillId="10" borderId="15" xfId="0" applyFont="1" applyFill="1" applyBorder="1" applyAlignment="1">
      <alignment vertical="top"/>
    </xf>
    <xf numFmtId="0" fontId="0" fillId="10" borderId="0" xfId="0" applyFont="1" applyFill="1" applyBorder="1" applyAlignment="1">
      <alignment vertical="top"/>
    </xf>
    <xf numFmtId="0" fontId="0" fillId="8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10" borderId="13" xfId="0" applyFont="1" applyFill="1" applyBorder="1" applyAlignment="1">
      <alignment horizontal="center"/>
    </xf>
    <xf numFmtId="0" fontId="0" fillId="8" borderId="10" xfId="0" applyFont="1" applyFill="1" applyBorder="1" applyAlignment="1">
      <alignment vertical="top" wrapText="1"/>
    </xf>
    <xf numFmtId="0" fontId="0" fillId="35" borderId="24" xfId="0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180" fontId="0" fillId="0" borderId="25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8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180" fontId="49" fillId="0" borderId="10" xfId="0" applyNumberFormat="1" applyFont="1" applyBorder="1" applyAlignment="1">
      <alignment vertical="top"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3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333375</xdr:colOff>
      <xdr:row>3</xdr:row>
      <xdr:rowOff>0</xdr:rowOff>
    </xdr:from>
    <xdr:to>
      <xdr:col>27</xdr:col>
      <xdr:colOff>161925</xdr:colOff>
      <xdr:row>3</xdr:row>
      <xdr:rowOff>180975</xdr:rowOff>
    </xdr:to>
    <xdr:sp>
      <xdr:nvSpPr>
        <xdr:cNvPr id="1" name="Left Arrow 1"/>
        <xdr:cNvSpPr>
          <a:spLocks/>
        </xdr:cNvSpPr>
      </xdr:nvSpPr>
      <xdr:spPr>
        <a:xfrm>
          <a:off x="11468100" y="619125"/>
          <a:ext cx="180975" cy="180975"/>
        </a:xfrm>
        <a:prstGeom prst="leftArrow">
          <a:avLst>
            <a:gd name="adj" fmla="val 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tabSelected="1" zoomScale="80" zoomScaleNormal="80" zoomScalePageLayoutView="0" workbookViewId="0" topLeftCell="A1">
      <selection activeCell="H33" sqref="H33"/>
    </sheetView>
  </sheetViews>
  <sheetFormatPr defaultColWidth="8.8515625" defaultRowHeight="15"/>
  <cols>
    <col min="1" max="1" width="28.57421875" style="0" customWidth="1"/>
    <col min="2" max="2" width="11.57421875" style="0" customWidth="1"/>
    <col min="3" max="27" width="5.28125" style="0" customWidth="1"/>
    <col min="28" max="28" width="7.421875" style="0" customWidth="1"/>
    <col min="29" max="53" width="5.421875" style="0" customWidth="1"/>
  </cols>
  <sheetData>
    <row r="1" spans="1:53" ht="18.75">
      <c r="A1" s="28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>
        <v>1</v>
      </c>
      <c r="AC1">
        <v>2</v>
      </c>
      <c r="AD1">
        <v>3</v>
      </c>
      <c r="AE1">
        <v>4</v>
      </c>
      <c r="AF1">
        <v>5</v>
      </c>
      <c r="AG1">
        <v>6</v>
      </c>
      <c r="AH1">
        <v>7</v>
      </c>
      <c r="AI1">
        <v>8</v>
      </c>
      <c r="AJ1">
        <v>9</v>
      </c>
      <c r="AK1">
        <v>10</v>
      </c>
      <c r="AL1">
        <v>11</v>
      </c>
      <c r="AM1">
        <v>12</v>
      </c>
      <c r="AN1">
        <v>13</v>
      </c>
      <c r="AO1">
        <v>14</v>
      </c>
      <c r="AP1">
        <v>15</v>
      </c>
      <c r="AQ1">
        <v>16</v>
      </c>
      <c r="AR1">
        <v>17</v>
      </c>
      <c r="AS1">
        <v>18</v>
      </c>
      <c r="AT1">
        <v>19</v>
      </c>
      <c r="AU1">
        <v>20</v>
      </c>
      <c r="AV1">
        <v>21</v>
      </c>
      <c r="AW1">
        <v>22</v>
      </c>
      <c r="AX1">
        <v>23</v>
      </c>
      <c r="AY1">
        <v>24</v>
      </c>
      <c r="AZ1">
        <v>25</v>
      </c>
      <c r="BA1">
        <v>26</v>
      </c>
    </row>
    <row r="2" spans="1:5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</row>
    <row r="3" spans="1:53" ht="15">
      <c r="A3" s="30" t="s">
        <v>0</v>
      </c>
      <c r="B3" s="53"/>
      <c r="C3" s="53"/>
      <c r="D3" s="53"/>
      <c r="E3" s="53"/>
      <c r="F3" s="53" t="s">
        <v>59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>
        <v>2041</v>
      </c>
      <c r="AC3">
        <v>2042</v>
      </c>
      <c r="AD3">
        <v>2043</v>
      </c>
      <c r="AE3">
        <v>2044</v>
      </c>
      <c r="AF3">
        <v>2045</v>
      </c>
      <c r="AG3">
        <v>2046</v>
      </c>
      <c r="AH3">
        <v>2047</v>
      </c>
      <c r="AI3">
        <v>2048</v>
      </c>
      <c r="AJ3">
        <v>2049</v>
      </c>
      <c r="AK3">
        <v>2050</v>
      </c>
      <c r="AL3">
        <v>2051</v>
      </c>
      <c r="AM3">
        <v>2052</v>
      </c>
      <c r="AN3">
        <v>2053</v>
      </c>
      <c r="AO3">
        <v>2054</v>
      </c>
      <c r="AP3">
        <v>2055</v>
      </c>
      <c r="AQ3">
        <v>2056</v>
      </c>
      <c r="AR3">
        <v>2057</v>
      </c>
      <c r="AS3">
        <v>2058</v>
      </c>
      <c r="AT3">
        <v>2059</v>
      </c>
      <c r="AU3">
        <v>2060</v>
      </c>
      <c r="AV3">
        <v>2061</v>
      </c>
      <c r="AW3">
        <v>2062</v>
      </c>
      <c r="AX3">
        <v>2063</v>
      </c>
      <c r="AY3">
        <v>2064</v>
      </c>
      <c r="AZ3">
        <v>2065</v>
      </c>
      <c r="BA3">
        <v>2066</v>
      </c>
    </row>
    <row r="4" spans="1:29" ht="15">
      <c r="A4" s="53"/>
      <c r="B4" s="53"/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3">
        <v>11</v>
      </c>
      <c r="N4" s="53">
        <v>12</v>
      </c>
      <c r="O4" s="53">
        <v>13</v>
      </c>
      <c r="P4" s="53">
        <v>14</v>
      </c>
      <c r="Q4" s="53">
        <v>15</v>
      </c>
      <c r="R4" s="53">
        <v>16</v>
      </c>
      <c r="S4" s="53">
        <v>17</v>
      </c>
      <c r="T4" s="53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11" t="s">
        <v>57</v>
      </c>
      <c r="AC4" t="s">
        <v>58</v>
      </c>
    </row>
    <row r="5" spans="1:28" ht="15">
      <c r="A5" s="120" t="s">
        <v>1</v>
      </c>
      <c r="B5" s="122" t="s">
        <v>7</v>
      </c>
      <c r="C5" s="126" t="s">
        <v>8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"/>
    </row>
    <row r="6" spans="1:28" ht="15.75" thickBot="1">
      <c r="A6" s="121"/>
      <c r="B6" s="121"/>
      <c r="C6" s="55">
        <v>2016</v>
      </c>
      <c r="D6" s="56">
        <v>2017</v>
      </c>
      <c r="E6" s="56">
        <v>2018</v>
      </c>
      <c r="F6" s="56">
        <v>2019</v>
      </c>
      <c r="G6" s="56">
        <v>2020</v>
      </c>
      <c r="H6" s="56">
        <v>2021</v>
      </c>
      <c r="I6" s="56">
        <v>2022</v>
      </c>
      <c r="J6" s="56">
        <v>2023</v>
      </c>
      <c r="K6" s="56">
        <v>2024</v>
      </c>
      <c r="L6" s="56">
        <v>2025</v>
      </c>
      <c r="M6" s="56">
        <v>2026</v>
      </c>
      <c r="N6" s="56">
        <v>2027</v>
      </c>
      <c r="O6" s="56">
        <v>2028</v>
      </c>
      <c r="P6" s="56">
        <v>2029</v>
      </c>
      <c r="Q6" s="56">
        <v>2030</v>
      </c>
      <c r="R6" s="56">
        <v>2031</v>
      </c>
      <c r="S6" s="56">
        <v>2032</v>
      </c>
      <c r="T6" s="56">
        <v>2033</v>
      </c>
      <c r="U6" s="56">
        <v>2034</v>
      </c>
      <c r="V6" s="56">
        <v>2035</v>
      </c>
      <c r="W6" s="56">
        <v>2036</v>
      </c>
      <c r="X6" s="56">
        <v>2037</v>
      </c>
      <c r="Y6" s="56">
        <v>2038</v>
      </c>
      <c r="Z6" s="56">
        <v>2039</v>
      </c>
      <c r="AA6" s="56">
        <v>2040</v>
      </c>
      <c r="AB6" s="1"/>
    </row>
    <row r="7" spans="1:28" ht="15">
      <c r="A7" s="65" t="s">
        <v>51</v>
      </c>
      <c r="B7" s="43"/>
      <c r="C7" s="97"/>
      <c r="D7" s="98">
        <v>719.474</v>
      </c>
      <c r="E7" s="98"/>
      <c r="F7" s="98"/>
      <c r="G7" s="98"/>
      <c r="H7" s="98"/>
      <c r="I7" s="98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72"/>
      <c r="X7" s="72"/>
      <c r="Y7" s="72"/>
      <c r="Z7" s="72"/>
      <c r="AA7" s="72"/>
      <c r="AB7" s="1"/>
    </row>
    <row r="8" spans="1:28" ht="15">
      <c r="A8" s="65" t="s">
        <v>46</v>
      </c>
      <c r="B8" s="43"/>
      <c r="C8" s="97"/>
      <c r="D8" s="98">
        <v>70</v>
      </c>
      <c r="E8" s="98"/>
      <c r="F8" s="98"/>
      <c r="G8" s="98"/>
      <c r="H8" s="98"/>
      <c r="I8" s="98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72"/>
      <c r="X8" s="72"/>
      <c r="Y8" s="72"/>
      <c r="Z8" s="72"/>
      <c r="AA8" s="72"/>
      <c r="AB8" s="1"/>
    </row>
    <row r="9" spans="1:27" ht="15">
      <c r="A9" s="65" t="s">
        <v>52</v>
      </c>
      <c r="B9" s="43"/>
      <c r="C9" s="97">
        <v>5</v>
      </c>
      <c r="D9" s="98">
        <v>120</v>
      </c>
      <c r="E9" s="98">
        <v>180</v>
      </c>
      <c r="F9" s="98">
        <v>250</v>
      </c>
      <c r="G9" s="98">
        <v>80</v>
      </c>
      <c r="H9" s="98">
        <v>65</v>
      </c>
      <c r="I9" s="98">
        <v>58.263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72"/>
      <c r="X9" s="72"/>
      <c r="Y9" s="72"/>
      <c r="Z9" s="72"/>
      <c r="AA9" s="72"/>
    </row>
    <row r="10" spans="1:27" ht="15">
      <c r="A10" s="69" t="s">
        <v>3</v>
      </c>
      <c r="B10" s="99">
        <f>SUM(C10:AA10)</f>
        <v>1547.737</v>
      </c>
      <c r="C10" s="100">
        <f aca="true" t="shared" si="0" ref="C10:AA10">SUM(C7:C9)</f>
        <v>5</v>
      </c>
      <c r="D10" s="101">
        <f t="shared" si="0"/>
        <v>909.474</v>
      </c>
      <c r="E10" s="101">
        <f t="shared" si="0"/>
        <v>180</v>
      </c>
      <c r="F10" s="101">
        <f t="shared" si="0"/>
        <v>250</v>
      </c>
      <c r="G10" s="101">
        <f t="shared" si="0"/>
        <v>80</v>
      </c>
      <c r="H10" s="101">
        <f t="shared" si="0"/>
        <v>65</v>
      </c>
      <c r="I10" s="101">
        <f t="shared" si="0"/>
        <v>58.263</v>
      </c>
      <c r="J10" s="102">
        <f t="shared" si="0"/>
        <v>0</v>
      </c>
      <c r="K10" s="102">
        <f t="shared" si="0"/>
        <v>0</v>
      </c>
      <c r="L10" s="102">
        <f t="shared" si="0"/>
        <v>0</v>
      </c>
      <c r="M10" s="102">
        <f t="shared" si="0"/>
        <v>0</v>
      </c>
      <c r="N10" s="102">
        <f t="shared" si="0"/>
        <v>0</v>
      </c>
      <c r="O10" s="102">
        <f t="shared" si="0"/>
        <v>0</v>
      </c>
      <c r="P10" s="102">
        <f t="shared" si="0"/>
        <v>0</v>
      </c>
      <c r="Q10" s="102">
        <f t="shared" si="0"/>
        <v>0</v>
      </c>
      <c r="R10" s="102">
        <f t="shared" si="0"/>
        <v>0</v>
      </c>
      <c r="S10" s="102">
        <f t="shared" si="0"/>
        <v>0</v>
      </c>
      <c r="T10" s="102">
        <f t="shared" si="0"/>
        <v>0</v>
      </c>
      <c r="U10" s="102">
        <f t="shared" si="0"/>
        <v>0</v>
      </c>
      <c r="V10" s="102">
        <f t="shared" si="0"/>
        <v>0</v>
      </c>
      <c r="W10" s="102">
        <f t="shared" si="0"/>
        <v>0</v>
      </c>
      <c r="X10" s="102">
        <f t="shared" si="0"/>
        <v>0</v>
      </c>
      <c r="Y10" s="102">
        <f t="shared" si="0"/>
        <v>0</v>
      </c>
      <c r="Z10" s="102">
        <f t="shared" si="0"/>
        <v>0</v>
      </c>
      <c r="AA10" s="102">
        <f t="shared" si="0"/>
        <v>0</v>
      </c>
    </row>
    <row r="11" spans="1:44" ht="15">
      <c r="A11" s="103" t="s">
        <v>53</v>
      </c>
      <c r="B11" s="72"/>
      <c r="C11" s="87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>
        <v>100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200</v>
      </c>
      <c r="Y11" s="60"/>
      <c r="Z11" s="60"/>
      <c r="AA11" s="60">
        <v>300</v>
      </c>
      <c r="AH11">
        <v>100</v>
      </c>
      <c r="AR11">
        <v>200</v>
      </c>
    </row>
    <row r="12" spans="1:49" ht="15">
      <c r="A12" s="103" t="s">
        <v>54</v>
      </c>
      <c r="B12" s="72"/>
      <c r="C12" s="87"/>
      <c r="D12" s="60"/>
      <c r="E12" s="60"/>
      <c r="F12" s="60"/>
      <c r="G12" s="60">
        <v>2</v>
      </c>
      <c r="H12" s="60"/>
      <c r="I12" s="60">
        <v>10</v>
      </c>
      <c r="J12" s="60"/>
      <c r="K12" s="60"/>
      <c r="L12" s="60"/>
      <c r="M12" s="60"/>
      <c r="N12" s="60">
        <v>10</v>
      </c>
      <c r="O12" s="60"/>
      <c r="P12" s="60"/>
      <c r="Q12" s="60"/>
      <c r="R12" s="60"/>
      <c r="S12" s="60">
        <v>20</v>
      </c>
      <c r="T12" s="60"/>
      <c r="U12" s="60"/>
      <c r="V12" s="60"/>
      <c r="W12" s="60"/>
      <c r="X12" s="60">
        <v>20</v>
      </c>
      <c r="Y12" s="60"/>
      <c r="Z12" s="60"/>
      <c r="AA12" s="60">
        <v>100</v>
      </c>
      <c r="AC12">
        <v>20</v>
      </c>
      <c r="AH12">
        <v>20</v>
      </c>
      <c r="AM12">
        <v>20</v>
      </c>
      <c r="AR12">
        <v>20</v>
      </c>
      <c r="AW12">
        <v>20</v>
      </c>
    </row>
    <row r="13" spans="1:51" ht="27.75" customHeight="1">
      <c r="A13" s="104" t="s">
        <v>55</v>
      </c>
      <c r="B13" s="72"/>
      <c r="C13" s="87"/>
      <c r="D13" s="60"/>
      <c r="E13" s="72"/>
      <c r="F13" s="72"/>
      <c r="G13" s="72"/>
      <c r="H13" s="72"/>
      <c r="I13" s="72"/>
      <c r="J13" s="72"/>
      <c r="K13" s="72"/>
      <c r="L13" s="72">
        <v>3</v>
      </c>
      <c r="M13" s="72"/>
      <c r="N13" s="72"/>
      <c r="O13" s="72">
        <v>3</v>
      </c>
      <c r="P13" s="72"/>
      <c r="Q13" s="72"/>
      <c r="R13" s="72">
        <v>3</v>
      </c>
      <c r="S13" s="72"/>
      <c r="T13" s="72"/>
      <c r="U13" s="72">
        <v>5</v>
      </c>
      <c r="V13" s="72"/>
      <c r="W13" s="72"/>
      <c r="X13" s="72">
        <v>5</v>
      </c>
      <c r="Y13" s="72"/>
      <c r="Z13" s="72"/>
      <c r="AA13" s="72">
        <v>45</v>
      </c>
      <c r="AD13">
        <v>5</v>
      </c>
      <c r="AG13">
        <v>5</v>
      </c>
      <c r="AJ13">
        <v>5</v>
      </c>
      <c r="AM13">
        <v>5</v>
      </c>
      <c r="AP13">
        <v>5</v>
      </c>
      <c r="AS13">
        <v>5</v>
      </c>
      <c r="AV13">
        <v>5</v>
      </c>
      <c r="AY13">
        <v>5</v>
      </c>
    </row>
    <row r="14" spans="1:28" ht="15">
      <c r="A14" s="65" t="s">
        <v>5</v>
      </c>
      <c r="B14" s="72"/>
      <c r="C14" s="87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2"/>
    </row>
    <row r="15" spans="1:28" ht="15.75" thickBot="1">
      <c r="A15" s="80" t="s">
        <v>6</v>
      </c>
      <c r="B15" s="83">
        <f>SUM(C15:AA15)</f>
        <v>2373.737</v>
      </c>
      <c r="C15" s="105">
        <f aca="true" t="shared" si="1" ref="C15:AA15">SUM(C10:C14)</f>
        <v>5</v>
      </c>
      <c r="D15" s="83">
        <f t="shared" si="1"/>
        <v>909.474</v>
      </c>
      <c r="E15" s="83">
        <f t="shared" si="1"/>
        <v>180</v>
      </c>
      <c r="F15" s="83">
        <f t="shared" si="1"/>
        <v>250</v>
      </c>
      <c r="G15" s="83">
        <f t="shared" si="1"/>
        <v>82</v>
      </c>
      <c r="H15" s="83">
        <f t="shared" si="1"/>
        <v>65</v>
      </c>
      <c r="I15" s="83">
        <f t="shared" si="1"/>
        <v>68.263</v>
      </c>
      <c r="J15" s="83">
        <f t="shared" si="1"/>
        <v>0</v>
      </c>
      <c r="K15" s="83">
        <f t="shared" si="1"/>
        <v>0</v>
      </c>
      <c r="L15" s="83">
        <f t="shared" si="1"/>
        <v>3</v>
      </c>
      <c r="M15" s="83">
        <f t="shared" si="1"/>
        <v>0</v>
      </c>
      <c r="N15" s="83">
        <f t="shared" si="1"/>
        <v>110</v>
      </c>
      <c r="O15" s="83">
        <f t="shared" si="1"/>
        <v>3</v>
      </c>
      <c r="P15" s="83">
        <f t="shared" si="1"/>
        <v>0</v>
      </c>
      <c r="Q15" s="83">
        <f t="shared" si="1"/>
        <v>0</v>
      </c>
      <c r="R15" s="83">
        <f t="shared" si="1"/>
        <v>3</v>
      </c>
      <c r="S15" s="83">
        <f t="shared" si="1"/>
        <v>20</v>
      </c>
      <c r="T15" s="83">
        <f t="shared" si="1"/>
        <v>0</v>
      </c>
      <c r="U15" s="83">
        <f t="shared" si="1"/>
        <v>5</v>
      </c>
      <c r="V15" s="83">
        <f t="shared" si="1"/>
        <v>0</v>
      </c>
      <c r="W15" s="83">
        <f t="shared" si="1"/>
        <v>0</v>
      </c>
      <c r="X15" s="83">
        <f t="shared" si="1"/>
        <v>225</v>
      </c>
      <c r="Y15" s="83">
        <f t="shared" si="1"/>
        <v>0</v>
      </c>
      <c r="Z15" s="83">
        <f t="shared" si="1"/>
        <v>0</v>
      </c>
      <c r="AA15" s="83">
        <f t="shared" si="1"/>
        <v>445</v>
      </c>
      <c r="AB15" s="2"/>
    </row>
    <row r="16" spans="1:28" ht="15.75" thickTop="1">
      <c r="A16" s="53"/>
      <c r="B16" s="53"/>
      <c r="C16" s="53"/>
      <c r="D16" s="7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2"/>
    </row>
    <row r="17" spans="1:27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">
      <c r="A18" s="30" t="s">
        <v>9</v>
      </c>
      <c r="B18" s="53"/>
      <c r="C18" s="53"/>
      <c r="D18" s="53"/>
      <c r="E18" s="53"/>
      <c r="F18" s="53" t="s">
        <v>60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">
      <c r="A20" s="123" t="s">
        <v>1</v>
      </c>
      <c r="B20" s="125" t="s">
        <v>7</v>
      </c>
      <c r="C20" s="128" t="s">
        <v>8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</row>
    <row r="21" spans="1:27" ht="15.75" thickBot="1">
      <c r="A21" s="124"/>
      <c r="B21" s="124"/>
      <c r="C21" s="84">
        <v>2016</v>
      </c>
      <c r="D21" s="85">
        <v>2017</v>
      </c>
      <c r="E21" s="85">
        <v>2018</v>
      </c>
      <c r="F21" s="85">
        <v>2019</v>
      </c>
      <c r="G21" s="85">
        <v>2020</v>
      </c>
      <c r="H21" s="85">
        <v>2021</v>
      </c>
      <c r="I21" s="85">
        <v>2022</v>
      </c>
      <c r="J21" s="85">
        <v>2023</v>
      </c>
      <c r="K21" s="85">
        <v>2024</v>
      </c>
      <c r="L21" s="85">
        <v>2025</v>
      </c>
      <c r="M21" s="85">
        <v>2026</v>
      </c>
      <c r="N21" s="85">
        <v>2027</v>
      </c>
      <c r="O21" s="85">
        <v>2028</v>
      </c>
      <c r="P21" s="85">
        <v>2029</v>
      </c>
      <c r="Q21" s="85">
        <v>2030</v>
      </c>
      <c r="R21" s="85">
        <v>2031</v>
      </c>
      <c r="S21" s="85">
        <v>2032</v>
      </c>
      <c r="T21" s="85">
        <v>2033</v>
      </c>
      <c r="U21" s="85">
        <v>2034</v>
      </c>
      <c r="V21" s="85">
        <v>2035</v>
      </c>
      <c r="W21" s="85">
        <v>2036</v>
      </c>
      <c r="X21" s="85">
        <v>2037</v>
      </c>
      <c r="Y21" s="85">
        <v>2038</v>
      </c>
      <c r="Z21" s="85">
        <v>2039</v>
      </c>
      <c r="AA21" s="85">
        <v>2040</v>
      </c>
    </row>
    <row r="22" spans="1:27" ht="15">
      <c r="A22" s="86" t="s">
        <v>2</v>
      </c>
      <c r="B22" s="72">
        <f>SUM(C22:V22)</f>
        <v>0</v>
      </c>
      <c r="C22" s="87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53"/>
      <c r="X22" s="53"/>
      <c r="Y22" s="53"/>
      <c r="Z22" s="53"/>
      <c r="AA22" s="53"/>
    </row>
    <row r="23" spans="1:27" ht="15">
      <c r="A23" s="86" t="s">
        <v>46</v>
      </c>
      <c r="B23" s="72">
        <f>SUM(C23:V23)</f>
        <v>0</v>
      </c>
      <c r="C23" s="87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53"/>
      <c r="X23" s="53"/>
      <c r="Y23" s="53"/>
      <c r="Z23" s="53"/>
      <c r="AA23" s="53"/>
    </row>
    <row r="24" spans="1:27" ht="15">
      <c r="A24" s="86" t="s">
        <v>14</v>
      </c>
      <c r="B24" s="72">
        <f>SUM(C24:V24)</f>
        <v>0</v>
      </c>
      <c r="C24" s="87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53"/>
      <c r="X24" s="53"/>
      <c r="Y24" s="53"/>
      <c r="Z24" s="53"/>
      <c r="AA24" s="53"/>
    </row>
    <row r="25" spans="1:27" ht="15">
      <c r="A25" s="88" t="s">
        <v>3</v>
      </c>
      <c r="B25" s="89">
        <f aca="true" t="shared" si="2" ref="B25:AA25">SUM(B22:B24)</f>
        <v>0</v>
      </c>
      <c r="C25" s="106">
        <f t="shared" si="2"/>
        <v>0</v>
      </c>
      <c r="D25" s="92">
        <f t="shared" si="2"/>
        <v>0</v>
      </c>
      <c r="E25" s="92">
        <f t="shared" si="2"/>
        <v>0</v>
      </c>
      <c r="F25" s="92">
        <f t="shared" si="2"/>
        <v>0</v>
      </c>
      <c r="G25" s="92">
        <f t="shared" si="2"/>
        <v>0</v>
      </c>
      <c r="H25" s="92">
        <f t="shared" si="2"/>
        <v>0</v>
      </c>
      <c r="I25" s="92">
        <f t="shared" si="2"/>
        <v>0</v>
      </c>
      <c r="J25" s="92">
        <f t="shared" si="2"/>
        <v>0</v>
      </c>
      <c r="K25" s="92">
        <f t="shared" si="2"/>
        <v>0</v>
      </c>
      <c r="L25" s="92">
        <f t="shared" si="2"/>
        <v>0</v>
      </c>
      <c r="M25" s="92">
        <f t="shared" si="2"/>
        <v>0</v>
      </c>
      <c r="N25" s="92">
        <f t="shared" si="2"/>
        <v>0</v>
      </c>
      <c r="O25" s="92">
        <f t="shared" si="2"/>
        <v>0</v>
      </c>
      <c r="P25" s="92">
        <f t="shared" si="2"/>
        <v>0</v>
      </c>
      <c r="Q25" s="92">
        <f t="shared" si="2"/>
        <v>0</v>
      </c>
      <c r="R25" s="92">
        <f t="shared" si="2"/>
        <v>0</v>
      </c>
      <c r="S25" s="92">
        <f t="shared" si="2"/>
        <v>0</v>
      </c>
      <c r="T25" s="92">
        <f t="shared" si="2"/>
        <v>0</v>
      </c>
      <c r="U25" s="92">
        <f t="shared" si="2"/>
        <v>0</v>
      </c>
      <c r="V25" s="92">
        <f t="shared" si="2"/>
        <v>0</v>
      </c>
      <c r="W25" s="92">
        <f t="shared" si="2"/>
        <v>0</v>
      </c>
      <c r="X25" s="92">
        <f t="shared" si="2"/>
        <v>0</v>
      </c>
      <c r="Y25" s="92">
        <f t="shared" si="2"/>
        <v>0</v>
      </c>
      <c r="Z25" s="92">
        <f t="shared" si="2"/>
        <v>0</v>
      </c>
      <c r="AA25" s="92">
        <f t="shared" si="2"/>
        <v>0</v>
      </c>
    </row>
    <row r="26" spans="1:27" ht="15">
      <c r="A26" s="86" t="s">
        <v>4</v>
      </c>
      <c r="B26" s="72">
        <f>SUM(C26:V26)</f>
        <v>0</v>
      </c>
      <c r="C26" s="87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53"/>
      <c r="X26" s="53"/>
      <c r="Y26" s="53"/>
      <c r="Z26" s="53"/>
      <c r="AA26" s="53"/>
    </row>
    <row r="27" spans="1:27" ht="15">
      <c r="A27" s="86" t="s">
        <v>5</v>
      </c>
      <c r="B27" s="72">
        <f>SUM(C27:V27)</f>
        <v>0</v>
      </c>
      <c r="C27" s="87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</row>
    <row r="28" spans="1:27" ht="15.75" thickBot="1">
      <c r="A28" s="93" t="s">
        <v>6</v>
      </c>
      <c r="B28" s="96">
        <f aca="true" t="shared" si="3" ref="B28:V28">SUM(B25:B27)</f>
        <v>0</v>
      </c>
      <c r="C28" s="107">
        <f t="shared" si="3"/>
        <v>0</v>
      </c>
      <c r="D28" s="96">
        <f t="shared" si="3"/>
        <v>0</v>
      </c>
      <c r="E28" s="96">
        <f t="shared" si="3"/>
        <v>0</v>
      </c>
      <c r="F28" s="96">
        <f t="shared" si="3"/>
        <v>0</v>
      </c>
      <c r="G28" s="96">
        <f t="shared" si="3"/>
        <v>0</v>
      </c>
      <c r="H28" s="96">
        <f t="shared" si="3"/>
        <v>0</v>
      </c>
      <c r="I28" s="96">
        <f t="shared" si="3"/>
        <v>0</v>
      </c>
      <c r="J28" s="96">
        <f t="shared" si="3"/>
        <v>0</v>
      </c>
      <c r="K28" s="96">
        <f t="shared" si="3"/>
        <v>0</v>
      </c>
      <c r="L28" s="96">
        <f t="shared" si="3"/>
        <v>0</v>
      </c>
      <c r="M28" s="96">
        <f t="shared" si="3"/>
        <v>0</v>
      </c>
      <c r="N28" s="96">
        <f t="shared" si="3"/>
        <v>0</v>
      </c>
      <c r="O28" s="96">
        <f t="shared" si="3"/>
        <v>0</v>
      </c>
      <c r="P28" s="96">
        <f t="shared" si="3"/>
        <v>0</v>
      </c>
      <c r="Q28" s="96">
        <f t="shared" si="3"/>
        <v>0</v>
      </c>
      <c r="R28" s="96">
        <f t="shared" si="3"/>
        <v>0</v>
      </c>
      <c r="S28" s="96">
        <f t="shared" si="3"/>
        <v>0</v>
      </c>
      <c r="T28" s="96">
        <f t="shared" si="3"/>
        <v>0</v>
      </c>
      <c r="U28" s="96">
        <f t="shared" si="3"/>
        <v>0</v>
      </c>
      <c r="V28" s="96">
        <f t="shared" si="3"/>
        <v>0</v>
      </c>
      <c r="W28" s="96">
        <f>SUM(W25:W27)</f>
        <v>0</v>
      </c>
      <c r="X28" s="96">
        <f>SUM(X25:X27)</f>
        <v>0</v>
      </c>
      <c r="Y28" s="96">
        <f>SUM(Y25:Y27)</f>
        <v>0</v>
      </c>
      <c r="Z28" s="96">
        <f>SUM(Z25:Z27)</f>
        <v>0</v>
      </c>
      <c r="AA28" s="96">
        <f>SUM(AA25:AA27)</f>
        <v>0</v>
      </c>
    </row>
    <row r="29" spans="1:27" ht="15.75" thickTop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8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28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28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11" ht="15">
      <c r="A37" s="29" t="s">
        <v>20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5">
      <c r="A38" s="29" t="s">
        <v>19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5">
      <c r="A39" s="29" t="s">
        <v>17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5">
      <c r="A41" s="29" t="s">
        <v>21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5">
      <c r="A42" s="29" t="s">
        <v>18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</sheetData>
  <sheetProtection/>
  <mergeCells count="6">
    <mergeCell ref="A5:A6"/>
    <mergeCell ref="B5:B6"/>
    <mergeCell ref="A20:A21"/>
    <mergeCell ref="B20:B21"/>
    <mergeCell ref="C5:AA5"/>
    <mergeCell ref="C20:AA2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25">
      <selection activeCell="C20" sqref="C20"/>
    </sheetView>
  </sheetViews>
  <sheetFormatPr defaultColWidth="8.8515625" defaultRowHeight="15"/>
  <cols>
    <col min="1" max="1" width="25.421875" style="0" customWidth="1"/>
    <col min="2" max="2" width="7.140625" style="0" bestFit="1" customWidth="1"/>
    <col min="3" max="26" width="5.8515625" style="0" customWidth="1"/>
    <col min="27" max="27" width="7.7109375" style="0" bestFit="1" customWidth="1"/>
    <col min="28" max="28" width="6.140625" style="0" customWidth="1"/>
    <col min="29" max="32" width="5.57421875" style="0" customWidth="1"/>
  </cols>
  <sheetData>
    <row r="1" spans="1:28" ht="18.75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s="54" customFormat="1" ht="15">
      <c r="A3" s="30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s="54" customFormat="1" ht="15">
      <c r="A4" s="53"/>
      <c r="B4" s="53"/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3">
        <v>11</v>
      </c>
      <c r="N4" s="53">
        <v>12</v>
      </c>
      <c r="O4" s="53">
        <v>13</v>
      </c>
      <c r="P4" s="53">
        <v>14</v>
      </c>
      <c r="Q4" s="53">
        <v>15</v>
      </c>
      <c r="R4" s="53">
        <v>16</v>
      </c>
      <c r="S4" s="53">
        <v>17</v>
      </c>
      <c r="T4" s="53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/>
    </row>
    <row r="5" spans="1:28" s="54" customFormat="1" ht="15">
      <c r="A5" s="120" t="s">
        <v>12</v>
      </c>
      <c r="B5" s="122" t="s">
        <v>7</v>
      </c>
      <c r="C5" s="126" t="s">
        <v>8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53"/>
    </row>
    <row r="6" spans="1:28" s="54" customFormat="1" ht="15.75" thickBot="1">
      <c r="A6" s="121"/>
      <c r="B6" s="121"/>
      <c r="C6" s="55">
        <v>2016</v>
      </c>
      <c r="D6" s="56">
        <v>2017</v>
      </c>
      <c r="E6" s="56">
        <v>2018</v>
      </c>
      <c r="F6" s="56">
        <v>2019</v>
      </c>
      <c r="G6" s="56">
        <v>2020</v>
      </c>
      <c r="H6" s="56">
        <v>2021</v>
      </c>
      <c r="I6" s="56">
        <v>2022</v>
      </c>
      <c r="J6" s="56">
        <v>2023</v>
      </c>
      <c r="K6" s="56">
        <v>2024</v>
      </c>
      <c r="L6" s="56">
        <v>2025</v>
      </c>
      <c r="M6" s="56">
        <v>2026</v>
      </c>
      <c r="N6" s="56">
        <v>2027</v>
      </c>
      <c r="O6" s="56">
        <v>2028</v>
      </c>
      <c r="P6" s="56">
        <v>2029</v>
      </c>
      <c r="Q6" s="56">
        <v>2030</v>
      </c>
      <c r="R6" s="56">
        <v>2031</v>
      </c>
      <c r="S6" s="56">
        <v>2032</v>
      </c>
      <c r="T6" s="56">
        <v>2033</v>
      </c>
      <c r="U6" s="56">
        <v>2034</v>
      </c>
      <c r="V6" s="56">
        <v>2035</v>
      </c>
      <c r="W6" s="56">
        <v>2036</v>
      </c>
      <c r="X6" s="56">
        <v>2037</v>
      </c>
      <c r="Y6" s="56">
        <v>2038</v>
      </c>
      <c r="Z6" s="56">
        <v>2039</v>
      </c>
      <c r="AA6" s="56">
        <v>2040</v>
      </c>
      <c r="AB6" s="53"/>
    </row>
    <row r="7" spans="1:28" s="54" customFormat="1" ht="15">
      <c r="A7" s="57" t="s">
        <v>94</v>
      </c>
      <c r="B7" s="58"/>
      <c r="C7" s="59">
        <v>800</v>
      </c>
      <c r="D7" s="60">
        <v>720</v>
      </c>
      <c r="E7" s="60">
        <v>800</v>
      </c>
      <c r="F7" s="60">
        <v>800</v>
      </c>
      <c r="G7" s="60">
        <v>800</v>
      </c>
      <c r="H7" s="60">
        <v>800</v>
      </c>
      <c r="I7" s="60">
        <v>1600</v>
      </c>
      <c r="J7" s="60">
        <v>1500</v>
      </c>
      <c r="K7" s="60">
        <v>1400</v>
      </c>
      <c r="L7" s="60">
        <v>1200</v>
      </c>
      <c r="M7" s="60">
        <v>1000</v>
      </c>
      <c r="N7" s="60">
        <v>800</v>
      </c>
      <c r="O7" s="60">
        <v>800</v>
      </c>
      <c r="P7" s="60">
        <v>800</v>
      </c>
      <c r="Q7" s="60">
        <v>850</v>
      </c>
      <c r="R7" s="60">
        <v>850</v>
      </c>
      <c r="S7" s="60">
        <v>850</v>
      </c>
      <c r="T7" s="60">
        <v>900</v>
      </c>
      <c r="U7" s="60">
        <v>900</v>
      </c>
      <c r="V7" s="60">
        <v>900</v>
      </c>
      <c r="W7" s="60">
        <v>950</v>
      </c>
      <c r="X7" s="60">
        <v>950</v>
      </c>
      <c r="Y7" s="60">
        <v>950</v>
      </c>
      <c r="Z7" s="60">
        <v>1000</v>
      </c>
      <c r="AA7" s="60">
        <v>1000</v>
      </c>
      <c r="AB7" s="53"/>
    </row>
    <row r="8" spans="1:28" s="54" customFormat="1" ht="15">
      <c r="A8" s="57" t="s">
        <v>98</v>
      </c>
      <c r="B8" s="58"/>
      <c r="C8" s="61">
        <v>0.125</v>
      </c>
      <c r="D8" s="62">
        <v>0.125</v>
      </c>
      <c r="E8" s="62">
        <v>0.125</v>
      </c>
      <c r="F8" s="62">
        <v>0.125</v>
      </c>
      <c r="G8" s="62">
        <v>0.125</v>
      </c>
      <c r="H8" s="62">
        <v>0.125</v>
      </c>
      <c r="I8" s="62">
        <v>0.125</v>
      </c>
      <c r="J8" s="62">
        <v>0.13</v>
      </c>
      <c r="K8" s="62">
        <v>0.13</v>
      </c>
      <c r="L8" s="62">
        <v>0.13</v>
      </c>
      <c r="M8" s="62">
        <v>0.13</v>
      </c>
      <c r="N8" s="62">
        <v>0.135</v>
      </c>
      <c r="O8" s="62">
        <v>0.135</v>
      </c>
      <c r="P8" s="62">
        <v>0.135</v>
      </c>
      <c r="Q8" s="62">
        <v>0.135</v>
      </c>
      <c r="R8" s="62">
        <v>0.14</v>
      </c>
      <c r="S8" s="62">
        <v>0.14</v>
      </c>
      <c r="T8" s="62">
        <v>0.14</v>
      </c>
      <c r="U8" s="62">
        <v>0.14</v>
      </c>
      <c r="V8" s="62">
        <v>0.155</v>
      </c>
      <c r="W8" s="62">
        <v>0.155</v>
      </c>
      <c r="X8" s="62">
        <v>0.155</v>
      </c>
      <c r="Y8" s="62">
        <v>0.155</v>
      </c>
      <c r="Z8" s="62">
        <v>0.16</v>
      </c>
      <c r="AA8" s="62">
        <v>0.16</v>
      </c>
      <c r="AB8" s="53"/>
    </row>
    <row r="9" spans="1:28" s="54" customFormat="1" ht="15">
      <c r="A9" s="57" t="s">
        <v>97</v>
      </c>
      <c r="B9" s="58"/>
      <c r="C9" s="63">
        <f>C7*C8</f>
        <v>100</v>
      </c>
      <c r="D9" s="64">
        <f>D7*D8</f>
        <v>90</v>
      </c>
      <c r="E9" s="64">
        <f>E7*E8</f>
        <v>100</v>
      </c>
      <c r="F9" s="64">
        <f aca="true" t="shared" si="0" ref="F9:Z9">F7*F8</f>
        <v>100</v>
      </c>
      <c r="G9" s="64">
        <f t="shared" si="0"/>
        <v>100</v>
      </c>
      <c r="H9" s="64">
        <f t="shared" si="0"/>
        <v>100</v>
      </c>
      <c r="I9" s="64">
        <f t="shared" si="0"/>
        <v>200</v>
      </c>
      <c r="J9" s="64">
        <f t="shared" si="0"/>
        <v>195</v>
      </c>
      <c r="K9" s="64">
        <f t="shared" si="0"/>
        <v>182</v>
      </c>
      <c r="L9" s="64">
        <f t="shared" si="0"/>
        <v>156</v>
      </c>
      <c r="M9" s="64">
        <f t="shared" si="0"/>
        <v>130</v>
      </c>
      <c r="N9" s="64">
        <f t="shared" si="0"/>
        <v>108</v>
      </c>
      <c r="O9" s="64">
        <f t="shared" si="0"/>
        <v>108</v>
      </c>
      <c r="P9" s="64">
        <f t="shared" si="0"/>
        <v>108</v>
      </c>
      <c r="Q9" s="64">
        <f t="shared" si="0"/>
        <v>114.75000000000001</v>
      </c>
      <c r="R9" s="64">
        <f t="shared" si="0"/>
        <v>119.00000000000001</v>
      </c>
      <c r="S9" s="64">
        <f t="shared" si="0"/>
        <v>119.00000000000001</v>
      </c>
      <c r="T9" s="64">
        <f t="shared" si="0"/>
        <v>126.00000000000001</v>
      </c>
      <c r="U9" s="64">
        <f t="shared" si="0"/>
        <v>126.00000000000001</v>
      </c>
      <c r="V9" s="64">
        <f t="shared" si="0"/>
        <v>139.5</v>
      </c>
      <c r="W9" s="64">
        <f t="shared" si="0"/>
        <v>147.25</v>
      </c>
      <c r="X9" s="64">
        <f t="shared" si="0"/>
        <v>147.25</v>
      </c>
      <c r="Y9" s="64">
        <f t="shared" si="0"/>
        <v>147.25</v>
      </c>
      <c r="Z9" s="64">
        <f t="shared" si="0"/>
        <v>160</v>
      </c>
      <c r="AA9" s="64">
        <f>160*27</f>
        <v>4320</v>
      </c>
      <c r="AB9" s="53"/>
    </row>
    <row r="10" spans="1:28" s="54" customFormat="1" ht="15">
      <c r="A10" s="65" t="s">
        <v>100</v>
      </c>
      <c r="B10" s="66"/>
      <c r="C10" s="67">
        <v>0</v>
      </c>
      <c r="D10" s="68">
        <v>0</v>
      </c>
      <c r="E10" s="62">
        <v>0.3</v>
      </c>
      <c r="F10" s="62">
        <v>0.3</v>
      </c>
      <c r="G10" s="62">
        <v>0.3</v>
      </c>
      <c r="H10" s="62">
        <v>0.3</v>
      </c>
      <c r="I10" s="62">
        <v>0.3</v>
      </c>
      <c r="J10" s="62">
        <v>0.3</v>
      </c>
      <c r="K10" s="62">
        <v>0.3</v>
      </c>
      <c r="L10" s="62">
        <v>0.3</v>
      </c>
      <c r="M10" s="62">
        <v>0.3</v>
      </c>
      <c r="N10" s="62">
        <v>0.3</v>
      </c>
      <c r="O10" s="62">
        <v>0.3</v>
      </c>
      <c r="P10" s="62">
        <v>0.3</v>
      </c>
      <c r="Q10" s="62">
        <v>0.3</v>
      </c>
      <c r="R10" s="62">
        <v>0.3</v>
      </c>
      <c r="S10" s="62">
        <v>0.3</v>
      </c>
      <c r="T10" s="62">
        <v>0.3</v>
      </c>
      <c r="U10" s="62">
        <v>0.3</v>
      </c>
      <c r="V10" s="62">
        <v>0.3</v>
      </c>
      <c r="W10" s="62">
        <v>0.3</v>
      </c>
      <c r="X10" s="62">
        <v>0.3</v>
      </c>
      <c r="Y10" s="62">
        <v>0.3</v>
      </c>
      <c r="Z10" s="62">
        <v>0.3</v>
      </c>
      <c r="AA10" s="60">
        <f>0.3*27</f>
        <v>8.1</v>
      </c>
      <c r="AB10" s="53"/>
    </row>
    <row r="11" spans="1:28" s="54" customFormat="1" ht="15">
      <c r="A11" s="65" t="s">
        <v>82</v>
      </c>
      <c r="B11" s="66"/>
      <c r="C11" s="52">
        <f aca="true" t="shared" si="1" ref="C11:AA11">C35-C17</f>
        <v>0</v>
      </c>
      <c r="D11" s="51">
        <f t="shared" si="1"/>
        <v>0</v>
      </c>
      <c r="E11" s="51">
        <f t="shared" si="1"/>
        <v>10</v>
      </c>
      <c r="F11" s="51">
        <f t="shared" si="1"/>
        <v>10</v>
      </c>
      <c r="G11" s="51">
        <f t="shared" si="1"/>
        <v>10</v>
      </c>
      <c r="H11" s="51">
        <f t="shared" si="1"/>
        <v>10</v>
      </c>
      <c r="I11" s="51">
        <f t="shared" si="1"/>
        <v>30</v>
      </c>
      <c r="J11" s="51">
        <f t="shared" si="1"/>
        <v>30</v>
      </c>
      <c r="K11" s="51">
        <f t="shared" si="1"/>
        <v>30</v>
      </c>
      <c r="L11" s="51">
        <f t="shared" si="1"/>
        <v>30</v>
      </c>
      <c r="M11" s="51">
        <f t="shared" si="1"/>
        <v>30</v>
      </c>
      <c r="N11" s="51">
        <f t="shared" si="1"/>
        <v>30</v>
      </c>
      <c r="O11" s="51">
        <f t="shared" si="1"/>
        <v>30</v>
      </c>
      <c r="P11" s="51">
        <f t="shared" si="1"/>
        <v>30</v>
      </c>
      <c r="Q11" s="51">
        <f t="shared" si="1"/>
        <v>30</v>
      </c>
      <c r="R11" s="51">
        <f t="shared" si="1"/>
        <v>30</v>
      </c>
      <c r="S11" s="51">
        <f t="shared" si="1"/>
        <v>30</v>
      </c>
      <c r="T11" s="51">
        <f t="shared" si="1"/>
        <v>30</v>
      </c>
      <c r="U11" s="51">
        <f t="shared" si="1"/>
        <v>30</v>
      </c>
      <c r="V11" s="51">
        <f t="shared" si="1"/>
        <v>30</v>
      </c>
      <c r="W11" s="51">
        <f t="shared" si="1"/>
        <v>30</v>
      </c>
      <c r="X11" s="51">
        <f t="shared" si="1"/>
        <v>30</v>
      </c>
      <c r="Y11" s="51">
        <f t="shared" si="1"/>
        <v>30</v>
      </c>
      <c r="Z11" s="51">
        <f t="shared" si="1"/>
        <v>30</v>
      </c>
      <c r="AA11" s="51">
        <f t="shared" si="1"/>
        <v>1053</v>
      </c>
      <c r="AB11" s="53"/>
    </row>
    <row r="12" spans="1:28" s="54" customFormat="1" ht="15">
      <c r="A12" s="69" t="s">
        <v>13</v>
      </c>
      <c r="B12" s="70">
        <f>SUM(C12:AA12)</f>
        <v>9090.700000000003</v>
      </c>
      <c r="C12" s="71">
        <f>SUM(C9:C11)</f>
        <v>100</v>
      </c>
      <c r="D12" s="71">
        <f aca="true" t="shared" si="2" ref="D12:AA12">SUM(D9:D11)</f>
        <v>90</v>
      </c>
      <c r="E12" s="71">
        <f t="shared" si="2"/>
        <v>110.3</v>
      </c>
      <c r="F12" s="71">
        <f t="shared" si="2"/>
        <v>110.3</v>
      </c>
      <c r="G12" s="71">
        <f t="shared" si="2"/>
        <v>110.3</v>
      </c>
      <c r="H12" s="71">
        <f t="shared" si="2"/>
        <v>110.3</v>
      </c>
      <c r="I12" s="71">
        <f t="shared" si="2"/>
        <v>230.3</v>
      </c>
      <c r="J12" s="71">
        <f t="shared" si="2"/>
        <v>225.3</v>
      </c>
      <c r="K12" s="71">
        <f t="shared" si="2"/>
        <v>212.3</v>
      </c>
      <c r="L12" s="71">
        <f t="shared" si="2"/>
        <v>186.3</v>
      </c>
      <c r="M12" s="71">
        <f t="shared" si="2"/>
        <v>160.3</v>
      </c>
      <c r="N12" s="71">
        <f t="shared" si="2"/>
        <v>138.3</v>
      </c>
      <c r="O12" s="71">
        <f t="shared" si="2"/>
        <v>138.3</v>
      </c>
      <c r="P12" s="71">
        <f t="shared" si="2"/>
        <v>138.3</v>
      </c>
      <c r="Q12" s="71">
        <f t="shared" si="2"/>
        <v>145.05</v>
      </c>
      <c r="R12" s="71">
        <f t="shared" si="2"/>
        <v>149.3</v>
      </c>
      <c r="S12" s="71">
        <f t="shared" si="2"/>
        <v>149.3</v>
      </c>
      <c r="T12" s="71">
        <f t="shared" si="2"/>
        <v>156.3</v>
      </c>
      <c r="U12" s="71">
        <f t="shared" si="2"/>
        <v>156.3</v>
      </c>
      <c r="V12" s="71">
        <f t="shared" si="2"/>
        <v>169.8</v>
      </c>
      <c r="W12" s="71">
        <f t="shared" si="2"/>
        <v>177.55</v>
      </c>
      <c r="X12" s="71">
        <f t="shared" si="2"/>
        <v>177.55</v>
      </c>
      <c r="Y12" s="71">
        <f t="shared" si="2"/>
        <v>177.55</v>
      </c>
      <c r="Z12" s="71">
        <f t="shared" si="2"/>
        <v>190.3</v>
      </c>
      <c r="AA12" s="71">
        <f t="shared" si="2"/>
        <v>5381.1</v>
      </c>
      <c r="AB12" s="53"/>
    </row>
    <row r="13" spans="1:28" s="54" customFormat="1" ht="15">
      <c r="A13" s="65" t="s">
        <v>48</v>
      </c>
      <c r="B13" s="72"/>
      <c r="C13" s="73">
        <v>0</v>
      </c>
      <c r="D13" s="68">
        <v>10</v>
      </c>
      <c r="E13" s="68">
        <v>24</v>
      </c>
      <c r="F13" s="68">
        <v>24</v>
      </c>
      <c r="G13" s="68">
        <v>25.2</v>
      </c>
      <c r="H13" s="68">
        <v>25.2</v>
      </c>
      <c r="I13" s="68">
        <v>26.4</v>
      </c>
      <c r="J13" s="68">
        <v>26.4</v>
      </c>
      <c r="K13" s="68">
        <v>27.3</v>
      </c>
      <c r="L13" s="68">
        <v>27.3</v>
      </c>
      <c r="M13" s="68">
        <v>27.3</v>
      </c>
      <c r="N13" s="68">
        <v>28</v>
      </c>
      <c r="O13" s="68">
        <v>28</v>
      </c>
      <c r="P13" s="68">
        <v>28</v>
      </c>
      <c r="Q13" s="68">
        <v>28</v>
      </c>
      <c r="R13" s="68">
        <v>29</v>
      </c>
      <c r="S13" s="68">
        <v>29</v>
      </c>
      <c r="T13" s="68">
        <v>29</v>
      </c>
      <c r="U13" s="68">
        <v>29</v>
      </c>
      <c r="V13" s="66">
        <v>32</v>
      </c>
      <c r="W13" s="66">
        <v>32</v>
      </c>
      <c r="X13" s="66">
        <v>32</v>
      </c>
      <c r="Y13" s="66">
        <v>32</v>
      </c>
      <c r="Z13" s="66">
        <v>32</v>
      </c>
      <c r="AA13" s="72">
        <f>32*27</f>
        <v>864</v>
      </c>
      <c r="AB13" s="53"/>
    </row>
    <row r="14" spans="1:28" s="54" customFormat="1" ht="15">
      <c r="A14" s="65" t="s">
        <v>49</v>
      </c>
      <c r="B14" s="72"/>
      <c r="C14" s="73">
        <v>0</v>
      </c>
      <c r="D14" s="68">
        <v>2.4</v>
      </c>
      <c r="E14" s="68">
        <v>9.6</v>
      </c>
      <c r="F14" s="68">
        <v>9.6</v>
      </c>
      <c r="G14" s="68">
        <v>9.6</v>
      </c>
      <c r="H14" s="68">
        <v>10.5</v>
      </c>
      <c r="I14" s="68">
        <v>10.5</v>
      </c>
      <c r="J14" s="68">
        <v>10.5</v>
      </c>
      <c r="K14" s="68">
        <v>10.5</v>
      </c>
      <c r="L14" s="68">
        <v>11.2</v>
      </c>
      <c r="M14" s="68">
        <v>11.2</v>
      </c>
      <c r="N14" s="68">
        <v>11.2</v>
      </c>
      <c r="O14" s="68">
        <v>11.2</v>
      </c>
      <c r="P14" s="68">
        <v>11.7</v>
      </c>
      <c r="Q14" s="68">
        <v>11.7</v>
      </c>
      <c r="R14" s="68">
        <v>11.7</v>
      </c>
      <c r="S14" s="68">
        <v>11.7</v>
      </c>
      <c r="T14" s="68">
        <v>12.2</v>
      </c>
      <c r="U14" s="68">
        <v>12.2</v>
      </c>
      <c r="V14" s="66">
        <v>12.2</v>
      </c>
      <c r="W14" s="66">
        <v>12.2</v>
      </c>
      <c r="X14" s="66">
        <v>12.85</v>
      </c>
      <c r="Y14" s="66">
        <v>12.85</v>
      </c>
      <c r="Z14" s="66">
        <v>12.85</v>
      </c>
      <c r="AA14" s="72">
        <f>12.85*27</f>
        <v>346.95</v>
      </c>
      <c r="AB14" s="53"/>
    </row>
    <row r="15" spans="1:28" s="54" customFormat="1" ht="15">
      <c r="A15" s="65" t="s">
        <v>105</v>
      </c>
      <c r="B15" s="72"/>
      <c r="C15" s="73">
        <v>0</v>
      </c>
      <c r="D15" s="74">
        <v>4.5</v>
      </c>
      <c r="E15" s="74">
        <v>18</v>
      </c>
      <c r="F15" s="74">
        <v>18</v>
      </c>
      <c r="G15" s="74">
        <v>18.5</v>
      </c>
      <c r="H15" s="74">
        <v>18.5</v>
      </c>
      <c r="I15" s="74">
        <v>18.5</v>
      </c>
      <c r="J15" s="74">
        <v>19</v>
      </c>
      <c r="K15" s="74">
        <v>19</v>
      </c>
      <c r="L15" s="74">
        <v>19</v>
      </c>
      <c r="M15" s="74">
        <v>19.2</v>
      </c>
      <c r="N15" s="74">
        <v>19.2</v>
      </c>
      <c r="O15" s="74">
        <v>19.2</v>
      </c>
      <c r="P15" s="74">
        <v>19.3</v>
      </c>
      <c r="Q15" s="74">
        <v>19.3</v>
      </c>
      <c r="R15" s="74">
        <v>19.3</v>
      </c>
      <c r="S15" s="74">
        <v>19.3</v>
      </c>
      <c r="T15" s="74">
        <v>19.4</v>
      </c>
      <c r="U15" s="74">
        <v>19.4</v>
      </c>
      <c r="V15" s="42">
        <v>19.4</v>
      </c>
      <c r="W15" s="42">
        <v>19.4</v>
      </c>
      <c r="X15" s="42">
        <v>20</v>
      </c>
      <c r="Y15" s="42">
        <v>20</v>
      </c>
      <c r="Z15" s="42">
        <v>20</v>
      </c>
      <c r="AA15" s="43">
        <f>20*27</f>
        <v>540</v>
      </c>
      <c r="AB15" s="53"/>
    </row>
    <row r="16" spans="1:29" s="54" customFormat="1" ht="15">
      <c r="A16" s="65" t="s">
        <v>62</v>
      </c>
      <c r="B16" s="72"/>
      <c r="C16" s="73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16</v>
      </c>
      <c r="J16" s="68">
        <v>16</v>
      </c>
      <c r="K16" s="68">
        <v>16</v>
      </c>
      <c r="L16" s="68">
        <v>16</v>
      </c>
      <c r="M16" s="68">
        <v>16</v>
      </c>
      <c r="N16" s="68">
        <v>16</v>
      </c>
      <c r="O16" s="68">
        <v>16</v>
      </c>
      <c r="P16" s="68">
        <v>16</v>
      </c>
      <c r="Q16" s="68">
        <v>16</v>
      </c>
      <c r="R16" s="68">
        <v>16</v>
      </c>
      <c r="S16" s="68">
        <v>16</v>
      </c>
      <c r="T16" s="68">
        <v>16</v>
      </c>
      <c r="U16" s="68">
        <v>16</v>
      </c>
      <c r="V16" s="68">
        <v>16</v>
      </c>
      <c r="W16" s="68">
        <v>16</v>
      </c>
      <c r="X16" s="68">
        <v>16</v>
      </c>
      <c r="Y16" s="68">
        <v>16</v>
      </c>
      <c r="Z16" s="68">
        <v>16</v>
      </c>
      <c r="AA16" s="60">
        <f>16*27</f>
        <v>432</v>
      </c>
      <c r="AB16" s="53"/>
      <c r="AC16" s="75"/>
    </row>
    <row r="17" spans="1:29" s="54" customFormat="1" ht="15">
      <c r="A17" s="65" t="s">
        <v>50</v>
      </c>
      <c r="B17" s="72"/>
      <c r="C17" s="108">
        <v>75</v>
      </c>
      <c r="D17" s="74">
        <v>75</v>
      </c>
      <c r="E17" s="74">
        <v>65</v>
      </c>
      <c r="F17" s="74">
        <v>65</v>
      </c>
      <c r="G17" s="74">
        <v>65</v>
      </c>
      <c r="H17" s="74">
        <v>65</v>
      </c>
      <c r="I17" s="74">
        <v>60</v>
      </c>
      <c r="J17" s="74">
        <v>60</v>
      </c>
      <c r="K17" s="74">
        <v>60</v>
      </c>
      <c r="L17" s="74">
        <v>60</v>
      </c>
      <c r="M17" s="74">
        <v>60</v>
      </c>
      <c r="N17" s="74">
        <v>60</v>
      </c>
      <c r="O17" s="74">
        <v>60</v>
      </c>
      <c r="P17" s="74">
        <v>60</v>
      </c>
      <c r="Q17" s="74">
        <v>60</v>
      </c>
      <c r="R17" s="74">
        <v>60</v>
      </c>
      <c r="S17" s="74">
        <v>60</v>
      </c>
      <c r="T17" s="74">
        <v>60</v>
      </c>
      <c r="U17" s="74">
        <v>60</v>
      </c>
      <c r="V17" s="74">
        <v>60</v>
      </c>
      <c r="W17" s="74">
        <v>60</v>
      </c>
      <c r="X17" s="74">
        <v>60</v>
      </c>
      <c r="Y17" s="74">
        <v>60</v>
      </c>
      <c r="Z17" s="74">
        <v>60</v>
      </c>
      <c r="AA17" s="60">
        <f>51*27</f>
        <v>1377</v>
      </c>
      <c r="AB17" s="53"/>
      <c r="AC17" s="75"/>
    </row>
    <row r="18" spans="1:29" s="54" customFormat="1" ht="15">
      <c r="A18" s="65" t="s">
        <v>99</v>
      </c>
      <c r="B18" s="76"/>
      <c r="C18" s="53">
        <v>0</v>
      </c>
      <c r="D18" s="53">
        <v>0</v>
      </c>
      <c r="E18" s="62">
        <v>0.3</v>
      </c>
      <c r="F18" s="62">
        <v>0.3</v>
      </c>
      <c r="G18" s="62">
        <v>0.3</v>
      </c>
      <c r="H18" s="62">
        <v>0.3</v>
      </c>
      <c r="I18" s="62">
        <v>0.3</v>
      </c>
      <c r="J18" s="62">
        <v>0.3</v>
      </c>
      <c r="K18" s="62">
        <v>0.3</v>
      </c>
      <c r="L18" s="62">
        <v>0.3</v>
      </c>
      <c r="M18" s="62">
        <v>0.3</v>
      </c>
      <c r="N18" s="62">
        <v>0.3</v>
      </c>
      <c r="O18" s="62">
        <v>0.3</v>
      </c>
      <c r="P18" s="62">
        <v>0.3</v>
      </c>
      <c r="Q18" s="62">
        <v>0.3</v>
      </c>
      <c r="R18" s="62">
        <v>0.3</v>
      </c>
      <c r="S18" s="62">
        <v>0.3</v>
      </c>
      <c r="T18" s="62">
        <v>0.3</v>
      </c>
      <c r="U18" s="62">
        <v>0.3</v>
      </c>
      <c r="V18" s="62">
        <v>0.3</v>
      </c>
      <c r="W18" s="62">
        <v>0.3</v>
      </c>
      <c r="X18" s="62">
        <v>0.3</v>
      </c>
      <c r="Y18" s="62">
        <v>0.3</v>
      </c>
      <c r="Z18" s="62">
        <v>0.3</v>
      </c>
      <c r="AA18" s="60">
        <f>0.3*27</f>
        <v>8.1</v>
      </c>
      <c r="AB18" s="53"/>
      <c r="AC18" s="75"/>
    </row>
    <row r="19" spans="1:29" s="54" customFormat="1" ht="15">
      <c r="A19" s="65" t="s">
        <v>101</v>
      </c>
      <c r="B19" s="76"/>
      <c r="C19" s="77">
        <f>C9*0.6</f>
        <v>60</v>
      </c>
      <c r="D19" s="77">
        <f>D9*0.6</f>
        <v>54</v>
      </c>
      <c r="E19" s="77">
        <f>E9*0.6</f>
        <v>60</v>
      </c>
      <c r="F19" s="77">
        <f aca="true" t="shared" si="3" ref="F19:Z19">F9*0.6</f>
        <v>60</v>
      </c>
      <c r="G19" s="77">
        <f t="shared" si="3"/>
        <v>60</v>
      </c>
      <c r="H19" s="77">
        <f t="shared" si="3"/>
        <v>60</v>
      </c>
      <c r="I19" s="77">
        <f t="shared" si="3"/>
        <v>120</v>
      </c>
      <c r="J19" s="77">
        <f t="shared" si="3"/>
        <v>117</v>
      </c>
      <c r="K19" s="77">
        <f t="shared" si="3"/>
        <v>109.2</v>
      </c>
      <c r="L19" s="77">
        <f t="shared" si="3"/>
        <v>93.6</v>
      </c>
      <c r="M19" s="77">
        <f t="shared" si="3"/>
        <v>78</v>
      </c>
      <c r="N19" s="77">
        <f t="shared" si="3"/>
        <v>64.8</v>
      </c>
      <c r="O19" s="77">
        <f t="shared" si="3"/>
        <v>64.8</v>
      </c>
      <c r="P19" s="77">
        <f t="shared" si="3"/>
        <v>64.8</v>
      </c>
      <c r="Q19" s="77">
        <f t="shared" si="3"/>
        <v>68.85000000000001</v>
      </c>
      <c r="R19" s="77">
        <f t="shared" si="3"/>
        <v>71.4</v>
      </c>
      <c r="S19" s="77">
        <f t="shared" si="3"/>
        <v>71.4</v>
      </c>
      <c r="T19" s="77">
        <f t="shared" si="3"/>
        <v>75.60000000000001</v>
      </c>
      <c r="U19" s="77">
        <f t="shared" si="3"/>
        <v>75.60000000000001</v>
      </c>
      <c r="V19" s="77">
        <f t="shared" si="3"/>
        <v>83.7</v>
      </c>
      <c r="W19" s="77">
        <f t="shared" si="3"/>
        <v>88.35</v>
      </c>
      <c r="X19" s="77">
        <f t="shared" si="3"/>
        <v>88.35</v>
      </c>
      <c r="Y19" s="77">
        <f t="shared" si="3"/>
        <v>88.35</v>
      </c>
      <c r="Z19" s="77">
        <f t="shared" si="3"/>
        <v>96</v>
      </c>
      <c r="AA19" s="78">
        <f>AA9*0.6</f>
        <v>2592</v>
      </c>
      <c r="AB19" s="53"/>
      <c r="AC19" s="75"/>
    </row>
    <row r="20" spans="1:29" s="54" customFormat="1" ht="15">
      <c r="A20" s="65" t="s">
        <v>102</v>
      </c>
      <c r="B20" s="76"/>
      <c r="C20" s="77">
        <f>C9*0.15</f>
        <v>15</v>
      </c>
      <c r="D20" s="77">
        <f>D9*0.15</f>
        <v>13.5</v>
      </c>
      <c r="E20" s="77">
        <f>E9*0.15</f>
        <v>15</v>
      </c>
      <c r="F20" s="77">
        <f aca="true" t="shared" si="4" ref="F20:AA20">F9*0.15</f>
        <v>15</v>
      </c>
      <c r="G20" s="77">
        <f t="shared" si="4"/>
        <v>15</v>
      </c>
      <c r="H20" s="77">
        <f t="shared" si="4"/>
        <v>15</v>
      </c>
      <c r="I20" s="77">
        <f t="shared" si="4"/>
        <v>30</v>
      </c>
      <c r="J20" s="77">
        <f t="shared" si="4"/>
        <v>29.25</v>
      </c>
      <c r="K20" s="77">
        <f t="shared" si="4"/>
        <v>27.3</v>
      </c>
      <c r="L20" s="77">
        <f t="shared" si="4"/>
        <v>23.4</v>
      </c>
      <c r="M20" s="77">
        <f t="shared" si="4"/>
        <v>19.5</v>
      </c>
      <c r="N20" s="77">
        <f t="shared" si="4"/>
        <v>16.2</v>
      </c>
      <c r="O20" s="77">
        <f t="shared" si="4"/>
        <v>16.2</v>
      </c>
      <c r="P20" s="77">
        <f t="shared" si="4"/>
        <v>16.2</v>
      </c>
      <c r="Q20" s="77">
        <f t="shared" si="4"/>
        <v>17.212500000000002</v>
      </c>
      <c r="R20" s="77">
        <f t="shared" si="4"/>
        <v>17.85</v>
      </c>
      <c r="S20" s="77">
        <f t="shared" si="4"/>
        <v>17.85</v>
      </c>
      <c r="T20" s="77">
        <f t="shared" si="4"/>
        <v>18.900000000000002</v>
      </c>
      <c r="U20" s="77">
        <f t="shared" si="4"/>
        <v>18.900000000000002</v>
      </c>
      <c r="V20" s="77">
        <f t="shared" si="4"/>
        <v>20.925</v>
      </c>
      <c r="W20" s="77">
        <f t="shared" si="4"/>
        <v>22.0875</v>
      </c>
      <c r="X20" s="77">
        <f t="shared" si="4"/>
        <v>22.0875</v>
      </c>
      <c r="Y20" s="77">
        <f t="shared" si="4"/>
        <v>22.0875</v>
      </c>
      <c r="Z20" s="77">
        <f t="shared" si="4"/>
        <v>24</v>
      </c>
      <c r="AA20" s="78">
        <f t="shared" si="4"/>
        <v>648</v>
      </c>
      <c r="AB20" s="53"/>
      <c r="AC20" s="75"/>
    </row>
    <row r="21" spans="1:29" s="54" customFormat="1" ht="15">
      <c r="A21" s="65" t="s">
        <v>103</v>
      </c>
      <c r="B21" s="76"/>
      <c r="C21" s="77">
        <f>C9*0.1</f>
        <v>10</v>
      </c>
      <c r="D21" s="77">
        <f>D9*0.1</f>
        <v>9</v>
      </c>
      <c r="E21" s="77">
        <f>E9*0.1</f>
        <v>10</v>
      </c>
      <c r="F21" s="77">
        <f aca="true" t="shared" si="5" ref="F21:AA21">F9*0.1</f>
        <v>10</v>
      </c>
      <c r="G21" s="77">
        <f t="shared" si="5"/>
        <v>10</v>
      </c>
      <c r="H21" s="77">
        <f t="shared" si="5"/>
        <v>10</v>
      </c>
      <c r="I21" s="77">
        <f t="shared" si="5"/>
        <v>20</v>
      </c>
      <c r="J21" s="77">
        <f t="shared" si="5"/>
        <v>19.5</v>
      </c>
      <c r="K21" s="77">
        <f t="shared" si="5"/>
        <v>18.2</v>
      </c>
      <c r="L21" s="77">
        <f t="shared" si="5"/>
        <v>15.600000000000001</v>
      </c>
      <c r="M21" s="77">
        <f t="shared" si="5"/>
        <v>13</v>
      </c>
      <c r="N21" s="77">
        <f t="shared" si="5"/>
        <v>10.8</v>
      </c>
      <c r="O21" s="77">
        <f t="shared" si="5"/>
        <v>10.8</v>
      </c>
      <c r="P21" s="77">
        <f t="shared" si="5"/>
        <v>10.8</v>
      </c>
      <c r="Q21" s="77">
        <f t="shared" si="5"/>
        <v>11.475000000000001</v>
      </c>
      <c r="R21" s="77">
        <f t="shared" si="5"/>
        <v>11.900000000000002</v>
      </c>
      <c r="S21" s="77">
        <f t="shared" si="5"/>
        <v>11.900000000000002</v>
      </c>
      <c r="T21" s="77">
        <f t="shared" si="5"/>
        <v>12.600000000000001</v>
      </c>
      <c r="U21" s="77">
        <f t="shared" si="5"/>
        <v>12.600000000000001</v>
      </c>
      <c r="V21" s="77">
        <f t="shared" si="5"/>
        <v>13.950000000000001</v>
      </c>
      <c r="W21" s="77">
        <f t="shared" si="5"/>
        <v>14.725000000000001</v>
      </c>
      <c r="X21" s="77">
        <f t="shared" si="5"/>
        <v>14.725000000000001</v>
      </c>
      <c r="Y21" s="77">
        <f t="shared" si="5"/>
        <v>14.725000000000001</v>
      </c>
      <c r="Z21" s="77">
        <f t="shared" si="5"/>
        <v>16</v>
      </c>
      <c r="AA21" s="78">
        <f t="shared" si="5"/>
        <v>432</v>
      </c>
      <c r="AB21" s="53"/>
      <c r="AC21" s="75"/>
    </row>
    <row r="22" spans="1:28" s="54" customFormat="1" ht="15">
      <c r="A22" s="65" t="s">
        <v>104</v>
      </c>
      <c r="B22" s="76"/>
      <c r="C22" s="77">
        <f>C9*0.05</f>
        <v>5</v>
      </c>
      <c r="D22" s="77">
        <f>D9*0.05</f>
        <v>4.5</v>
      </c>
      <c r="E22" s="77">
        <f>E9*0.05</f>
        <v>5</v>
      </c>
      <c r="F22" s="77">
        <f aca="true" t="shared" si="6" ref="F22:AA22">F9*0.05</f>
        <v>5</v>
      </c>
      <c r="G22" s="77">
        <f t="shared" si="6"/>
        <v>5</v>
      </c>
      <c r="H22" s="77">
        <f t="shared" si="6"/>
        <v>5</v>
      </c>
      <c r="I22" s="77">
        <f t="shared" si="6"/>
        <v>10</v>
      </c>
      <c r="J22" s="77">
        <f t="shared" si="6"/>
        <v>9.75</v>
      </c>
      <c r="K22" s="77">
        <f t="shared" si="6"/>
        <v>9.1</v>
      </c>
      <c r="L22" s="77">
        <f t="shared" si="6"/>
        <v>7.800000000000001</v>
      </c>
      <c r="M22" s="77">
        <f t="shared" si="6"/>
        <v>6.5</v>
      </c>
      <c r="N22" s="77">
        <f t="shared" si="6"/>
        <v>5.4</v>
      </c>
      <c r="O22" s="77">
        <f t="shared" si="6"/>
        <v>5.4</v>
      </c>
      <c r="P22" s="77">
        <f t="shared" si="6"/>
        <v>5.4</v>
      </c>
      <c r="Q22" s="77">
        <f t="shared" si="6"/>
        <v>5.737500000000001</v>
      </c>
      <c r="R22" s="77">
        <f t="shared" si="6"/>
        <v>5.950000000000001</v>
      </c>
      <c r="S22" s="77">
        <f t="shared" si="6"/>
        <v>5.950000000000001</v>
      </c>
      <c r="T22" s="77">
        <f t="shared" si="6"/>
        <v>6.300000000000001</v>
      </c>
      <c r="U22" s="77">
        <f t="shared" si="6"/>
        <v>6.300000000000001</v>
      </c>
      <c r="V22" s="77">
        <f t="shared" si="6"/>
        <v>6.9750000000000005</v>
      </c>
      <c r="W22" s="77">
        <f t="shared" si="6"/>
        <v>7.362500000000001</v>
      </c>
      <c r="X22" s="77">
        <f t="shared" si="6"/>
        <v>7.362500000000001</v>
      </c>
      <c r="Y22" s="77">
        <f t="shared" si="6"/>
        <v>7.362500000000001</v>
      </c>
      <c r="Z22" s="77">
        <f t="shared" si="6"/>
        <v>8</v>
      </c>
      <c r="AA22" s="78">
        <f t="shared" si="6"/>
        <v>216</v>
      </c>
      <c r="AB22" s="53"/>
    </row>
    <row r="23" spans="1:28" s="54" customFormat="1" ht="15">
      <c r="A23" s="69" t="s">
        <v>15</v>
      </c>
      <c r="B23" s="70">
        <f>SUM(C23:AA23)</f>
        <v>13360</v>
      </c>
      <c r="C23" s="79">
        <f>SUM(C13:C22)</f>
        <v>165</v>
      </c>
      <c r="D23" s="71">
        <f>SUM(D13:D22)</f>
        <v>172.9</v>
      </c>
      <c r="E23" s="71">
        <f aca="true" t="shared" si="7" ref="E23:K23">SUM(E13:E22)</f>
        <v>206.89999999999998</v>
      </c>
      <c r="F23" s="71">
        <f t="shared" si="7"/>
        <v>206.89999999999998</v>
      </c>
      <c r="G23" s="71">
        <f t="shared" si="7"/>
        <v>208.6</v>
      </c>
      <c r="H23" s="71">
        <f t="shared" si="7"/>
        <v>209.5</v>
      </c>
      <c r="I23" s="71">
        <f t="shared" si="7"/>
        <v>311.70000000000005</v>
      </c>
      <c r="J23" s="71">
        <f t="shared" si="7"/>
        <v>307.70000000000005</v>
      </c>
      <c r="K23" s="71">
        <f t="shared" si="7"/>
        <v>296.90000000000003</v>
      </c>
      <c r="L23" s="71">
        <f aca="true" t="shared" si="8" ref="L23:AA23">SUM(L13:L22)</f>
        <v>274.20000000000005</v>
      </c>
      <c r="M23" s="71">
        <f t="shared" si="8"/>
        <v>251</v>
      </c>
      <c r="N23" s="71">
        <f t="shared" si="8"/>
        <v>231.9</v>
      </c>
      <c r="O23" s="71">
        <f t="shared" si="8"/>
        <v>231.9</v>
      </c>
      <c r="P23" s="71">
        <f t="shared" si="8"/>
        <v>232.50000000000003</v>
      </c>
      <c r="Q23" s="71">
        <f t="shared" si="8"/>
        <v>238.57500000000005</v>
      </c>
      <c r="R23" s="71">
        <f t="shared" si="8"/>
        <v>243.4</v>
      </c>
      <c r="S23" s="71">
        <f t="shared" si="8"/>
        <v>243.4</v>
      </c>
      <c r="T23" s="71">
        <f t="shared" si="8"/>
        <v>250.3</v>
      </c>
      <c r="U23" s="71">
        <f t="shared" si="8"/>
        <v>250.3</v>
      </c>
      <c r="V23" s="71">
        <f t="shared" si="8"/>
        <v>265.45000000000005</v>
      </c>
      <c r="W23" s="71">
        <f t="shared" si="8"/>
        <v>272.425</v>
      </c>
      <c r="X23" s="71">
        <f t="shared" si="8"/>
        <v>273.675</v>
      </c>
      <c r="Y23" s="71">
        <f t="shared" si="8"/>
        <v>273.675</v>
      </c>
      <c r="Z23" s="71">
        <f t="shared" si="8"/>
        <v>285.15</v>
      </c>
      <c r="AA23" s="71">
        <f t="shared" si="8"/>
        <v>7456.049999999999</v>
      </c>
      <c r="AB23" s="53"/>
    </row>
    <row r="24" spans="1:28" s="54" customFormat="1" ht="15.75" thickBot="1">
      <c r="A24" s="80" t="s">
        <v>16</v>
      </c>
      <c r="B24" s="81"/>
      <c r="C24" s="82">
        <f aca="true" t="shared" si="9" ref="C24:AA24">C12-C23</f>
        <v>-65</v>
      </c>
      <c r="D24" s="81">
        <f t="shared" si="9"/>
        <v>-82.9</v>
      </c>
      <c r="E24" s="81">
        <f t="shared" si="9"/>
        <v>-96.59999999999998</v>
      </c>
      <c r="F24" s="81">
        <f t="shared" si="9"/>
        <v>-96.59999999999998</v>
      </c>
      <c r="G24" s="81">
        <f t="shared" si="9"/>
        <v>-98.3</v>
      </c>
      <c r="H24" s="81">
        <f t="shared" si="9"/>
        <v>-99.2</v>
      </c>
      <c r="I24" s="81">
        <f t="shared" si="9"/>
        <v>-81.40000000000003</v>
      </c>
      <c r="J24" s="81">
        <f t="shared" si="9"/>
        <v>-82.40000000000003</v>
      </c>
      <c r="K24" s="81">
        <f t="shared" si="9"/>
        <v>-84.60000000000002</v>
      </c>
      <c r="L24" s="81">
        <f t="shared" si="9"/>
        <v>-87.90000000000003</v>
      </c>
      <c r="M24" s="81">
        <f t="shared" si="9"/>
        <v>-90.69999999999999</v>
      </c>
      <c r="N24" s="81">
        <f t="shared" si="9"/>
        <v>-93.6</v>
      </c>
      <c r="O24" s="81">
        <f t="shared" si="9"/>
        <v>-93.6</v>
      </c>
      <c r="P24" s="81">
        <f t="shared" si="9"/>
        <v>-94.20000000000002</v>
      </c>
      <c r="Q24" s="81">
        <f t="shared" si="9"/>
        <v>-93.52500000000003</v>
      </c>
      <c r="R24" s="81">
        <f t="shared" si="9"/>
        <v>-94.1</v>
      </c>
      <c r="S24" s="81">
        <f t="shared" si="9"/>
        <v>-94.1</v>
      </c>
      <c r="T24" s="81">
        <f t="shared" si="9"/>
        <v>-94</v>
      </c>
      <c r="U24" s="81">
        <f t="shared" si="9"/>
        <v>-94</v>
      </c>
      <c r="V24" s="81">
        <f t="shared" si="9"/>
        <v>-95.65000000000003</v>
      </c>
      <c r="W24" s="81">
        <f t="shared" si="9"/>
        <v>-94.875</v>
      </c>
      <c r="X24" s="81">
        <f t="shared" si="9"/>
        <v>-96.125</v>
      </c>
      <c r="Y24" s="81">
        <f t="shared" si="9"/>
        <v>-96.125</v>
      </c>
      <c r="Z24" s="81">
        <f t="shared" si="9"/>
        <v>-94.84999999999997</v>
      </c>
      <c r="AA24" s="83">
        <f t="shared" si="9"/>
        <v>-2074.949999999999</v>
      </c>
      <c r="AB24" s="53"/>
    </row>
    <row r="25" spans="1:28" s="54" customFormat="1" ht="15.75" thickTop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s="54" customFormat="1" ht="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s="54" customFormat="1" ht="15">
      <c r="A27" s="30" t="s">
        <v>11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s="54" customFormat="1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s="54" customFormat="1" ht="15">
      <c r="A29" s="123" t="s">
        <v>12</v>
      </c>
      <c r="B29" s="125" t="s">
        <v>7</v>
      </c>
      <c r="C29" s="128" t="s">
        <v>8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66"/>
    </row>
    <row r="30" spans="1:28" s="54" customFormat="1" ht="15.75" thickBot="1">
      <c r="A30" s="124"/>
      <c r="B30" s="124"/>
      <c r="C30" s="84">
        <v>2016</v>
      </c>
      <c r="D30" s="85">
        <v>2017</v>
      </c>
      <c r="E30" s="85">
        <v>2018</v>
      </c>
      <c r="F30" s="85">
        <v>2019</v>
      </c>
      <c r="G30" s="85">
        <v>2020</v>
      </c>
      <c r="H30" s="85">
        <v>2021</v>
      </c>
      <c r="I30" s="85">
        <v>2022</v>
      </c>
      <c r="J30" s="85">
        <v>2023</v>
      </c>
      <c r="K30" s="85">
        <v>2024</v>
      </c>
      <c r="L30" s="85">
        <v>2025</v>
      </c>
      <c r="M30" s="85">
        <v>2026</v>
      </c>
      <c r="N30" s="85">
        <v>2027</v>
      </c>
      <c r="O30" s="85">
        <v>2028</v>
      </c>
      <c r="P30" s="85">
        <v>2029</v>
      </c>
      <c r="Q30" s="85">
        <v>2030</v>
      </c>
      <c r="R30" s="85">
        <v>2031</v>
      </c>
      <c r="S30" s="85">
        <v>2032</v>
      </c>
      <c r="T30" s="85">
        <v>2033</v>
      </c>
      <c r="U30" s="85">
        <v>2034</v>
      </c>
      <c r="V30" s="85">
        <v>2035</v>
      </c>
      <c r="W30" s="85">
        <v>2036</v>
      </c>
      <c r="X30" s="85">
        <v>2037</v>
      </c>
      <c r="Y30" s="85">
        <v>2038</v>
      </c>
      <c r="Z30" s="85">
        <v>2039</v>
      </c>
      <c r="AA30" s="85">
        <v>2040</v>
      </c>
      <c r="AB30" s="66"/>
    </row>
    <row r="31" spans="1:28" s="54" customFormat="1" ht="15">
      <c r="A31" s="86" t="s">
        <v>94</v>
      </c>
      <c r="B31" s="66"/>
      <c r="C31" s="87">
        <v>800</v>
      </c>
      <c r="D31" s="60">
        <v>720</v>
      </c>
      <c r="E31" s="60">
        <v>720</v>
      </c>
      <c r="F31" s="60">
        <v>720</v>
      </c>
      <c r="G31" s="60">
        <v>720</v>
      </c>
      <c r="H31" s="60">
        <v>720</v>
      </c>
      <c r="I31" s="60">
        <v>1520</v>
      </c>
      <c r="J31" s="60">
        <v>1400</v>
      </c>
      <c r="K31" s="60">
        <v>1300</v>
      </c>
      <c r="L31" s="60">
        <v>1100</v>
      </c>
      <c r="M31" s="60">
        <v>900</v>
      </c>
      <c r="N31" s="60">
        <v>700</v>
      </c>
      <c r="O31" s="60">
        <v>700</v>
      </c>
      <c r="P31" s="60">
        <v>700</v>
      </c>
      <c r="Q31" s="60">
        <v>750</v>
      </c>
      <c r="R31" s="60">
        <v>750</v>
      </c>
      <c r="S31" s="60">
        <v>750</v>
      </c>
      <c r="T31" s="60">
        <v>800</v>
      </c>
      <c r="U31" s="60">
        <v>800</v>
      </c>
      <c r="V31" s="60">
        <v>800</v>
      </c>
      <c r="W31" s="60">
        <v>850</v>
      </c>
      <c r="X31" s="60">
        <v>850</v>
      </c>
      <c r="Y31" s="60">
        <v>850</v>
      </c>
      <c r="Z31" s="60">
        <v>900</v>
      </c>
      <c r="AA31" s="60">
        <v>900</v>
      </c>
      <c r="AB31" s="66"/>
    </row>
    <row r="32" spans="1:28" s="54" customFormat="1" ht="15">
      <c r="A32" s="86" t="s">
        <v>95</v>
      </c>
      <c r="B32" s="66"/>
      <c r="C32" s="61">
        <v>0.125</v>
      </c>
      <c r="D32" s="62">
        <v>0.125</v>
      </c>
      <c r="E32" s="62">
        <v>0.125</v>
      </c>
      <c r="F32" s="62">
        <v>0.125</v>
      </c>
      <c r="G32" s="62">
        <v>0.125</v>
      </c>
      <c r="H32" s="62">
        <v>0.125</v>
      </c>
      <c r="I32" s="62">
        <v>0.125</v>
      </c>
      <c r="J32" s="62">
        <v>0.13</v>
      </c>
      <c r="K32" s="62">
        <v>0.13</v>
      </c>
      <c r="L32" s="62">
        <v>0.13</v>
      </c>
      <c r="M32" s="62">
        <v>0.13</v>
      </c>
      <c r="N32" s="62">
        <v>0.135</v>
      </c>
      <c r="O32" s="62">
        <v>0.135</v>
      </c>
      <c r="P32" s="62">
        <v>0.135</v>
      </c>
      <c r="Q32" s="62">
        <v>0.135</v>
      </c>
      <c r="R32" s="62">
        <v>0.14</v>
      </c>
      <c r="S32" s="62">
        <v>0.14</v>
      </c>
      <c r="T32" s="62">
        <v>0.14</v>
      </c>
      <c r="U32" s="62">
        <v>0.14</v>
      </c>
      <c r="V32" s="62">
        <v>0.155</v>
      </c>
      <c r="W32" s="62">
        <v>0.155</v>
      </c>
      <c r="X32" s="62">
        <v>0.155</v>
      </c>
      <c r="Y32" s="62">
        <v>0.155</v>
      </c>
      <c r="Z32" s="62">
        <v>0.16</v>
      </c>
      <c r="AA32" s="62">
        <v>0.16</v>
      </c>
      <c r="AB32" s="66"/>
    </row>
    <row r="33" spans="1:28" s="54" customFormat="1" ht="15">
      <c r="A33" s="86" t="s">
        <v>96</v>
      </c>
      <c r="B33" s="66"/>
      <c r="C33" s="73">
        <f>C31*C32</f>
        <v>100</v>
      </c>
      <c r="D33" s="68">
        <f aca="true" t="shared" si="10" ref="D33:Z33">D31*D32</f>
        <v>90</v>
      </c>
      <c r="E33" s="68">
        <f t="shared" si="10"/>
        <v>90</v>
      </c>
      <c r="F33" s="68">
        <f t="shared" si="10"/>
        <v>90</v>
      </c>
      <c r="G33" s="68">
        <f t="shared" si="10"/>
        <v>90</v>
      </c>
      <c r="H33" s="68">
        <f t="shared" si="10"/>
        <v>90</v>
      </c>
      <c r="I33" s="68">
        <f t="shared" si="10"/>
        <v>190</v>
      </c>
      <c r="J33" s="68">
        <f t="shared" si="10"/>
        <v>182</v>
      </c>
      <c r="K33" s="68">
        <f t="shared" si="10"/>
        <v>169</v>
      </c>
      <c r="L33" s="68">
        <f t="shared" si="10"/>
        <v>143</v>
      </c>
      <c r="M33" s="68">
        <f t="shared" si="10"/>
        <v>117</v>
      </c>
      <c r="N33" s="68">
        <f t="shared" si="10"/>
        <v>94.5</v>
      </c>
      <c r="O33" s="68">
        <f t="shared" si="10"/>
        <v>94.5</v>
      </c>
      <c r="P33" s="68">
        <f t="shared" si="10"/>
        <v>94.5</v>
      </c>
      <c r="Q33" s="68">
        <f t="shared" si="10"/>
        <v>101.25</v>
      </c>
      <c r="R33" s="68">
        <f t="shared" si="10"/>
        <v>105.00000000000001</v>
      </c>
      <c r="S33" s="68">
        <f t="shared" si="10"/>
        <v>105.00000000000001</v>
      </c>
      <c r="T33" s="68">
        <f t="shared" si="10"/>
        <v>112.00000000000001</v>
      </c>
      <c r="U33" s="68">
        <f t="shared" si="10"/>
        <v>112.00000000000001</v>
      </c>
      <c r="V33" s="68">
        <f t="shared" si="10"/>
        <v>124</v>
      </c>
      <c r="W33" s="68">
        <f t="shared" si="10"/>
        <v>131.75</v>
      </c>
      <c r="X33" s="68">
        <f t="shared" si="10"/>
        <v>131.75</v>
      </c>
      <c r="Y33" s="68">
        <f t="shared" si="10"/>
        <v>131.75</v>
      </c>
      <c r="Z33" s="68">
        <f t="shared" si="10"/>
        <v>144</v>
      </c>
      <c r="AA33" s="68">
        <f>160*27</f>
        <v>4320</v>
      </c>
      <c r="AB33" s="66"/>
    </row>
    <row r="34" spans="1:28" s="54" customFormat="1" ht="15">
      <c r="A34" s="88" t="s">
        <v>13</v>
      </c>
      <c r="B34" s="89">
        <f>SUM(C34:AA34)</f>
        <v>7153</v>
      </c>
      <c r="C34" s="90">
        <f>C33</f>
        <v>100</v>
      </c>
      <c r="D34" s="91">
        <f aca="true" t="shared" si="11" ref="D34:AA34">D33</f>
        <v>90</v>
      </c>
      <c r="E34" s="91">
        <f t="shared" si="11"/>
        <v>90</v>
      </c>
      <c r="F34" s="91">
        <f t="shared" si="11"/>
        <v>90</v>
      </c>
      <c r="G34" s="91">
        <f t="shared" si="11"/>
        <v>90</v>
      </c>
      <c r="H34" s="91">
        <f t="shared" si="11"/>
        <v>90</v>
      </c>
      <c r="I34" s="91">
        <f t="shared" si="11"/>
        <v>190</v>
      </c>
      <c r="J34" s="91">
        <f t="shared" si="11"/>
        <v>182</v>
      </c>
      <c r="K34" s="91">
        <f t="shared" si="11"/>
        <v>169</v>
      </c>
      <c r="L34" s="91">
        <f t="shared" si="11"/>
        <v>143</v>
      </c>
      <c r="M34" s="91">
        <f t="shared" si="11"/>
        <v>117</v>
      </c>
      <c r="N34" s="91">
        <f t="shared" si="11"/>
        <v>94.5</v>
      </c>
      <c r="O34" s="91">
        <f t="shared" si="11"/>
        <v>94.5</v>
      </c>
      <c r="P34" s="91">
        <f t="shared" si="11"/>
        <v>94.5</v>
      </c>
      <c r="Q34" s="91">
        <f t="shared" si="11"/>
        <v>101.25</v>
      </c>
      <c r="R34" s="91">
        <f t="shared" si="11"/>
        <v>105.00000000000001</v>
      </c>
      <c r="S34" s="91">
        <f t="shared" si="11"/>
        <v>105.00000000000001</v>
      </c>
      <c r="T34" s="91">
        <f t="shared" si="11"/>
        <v>112.00000000000001</v>
      </c>
      <c r="U34" s="91">
        <f t="shared" si="11"/>
        <v>112.00000000000001</v>
      </c>
      <c r="V34" s="91">
        <f t="shared" si="11"/>
        <v>124</v>
      </c>
      <c r="W34" s="91">
        <f t="shared" si="11"/>
        <v>131.75</v>
      </c>
      <c r="X34" s="91">
        <f t="shared" si="11"/>
        <v>131.75</v>
      </c>
      <c r="Y34" s="91">
        <f t="shared" si="11"/>
        <v>131.75</v>
      </c>
      <c r="Z34" s="91">
        <f t="shared" si="11"/>
        <v>144</v>
      </c>
      <c r="AA34" s="91">
        <f t="shared" si="11"/>
        <v>4320</v>
      </c>
      <c r="AB34" s="66"/>
    </row>
    <row r="35" spans="1:28" s="54" customFormat="1" ht="15">
      <c r="A35" s="86" t="s">
        <v>50</v>
      </c>
      <c r="B35" s="72"/>
      <c r="C35" s="47">
        <v>75</v>
      </c>
      <c r="D35" s="74">
        <v>75</v>
      </c>
      <c r="E35" s="74">
        <v>75</v>
      </c>
      <c r="F35" s="74">
        <v>75</v>
      </c>
      <c r="G35" s="68">
        <v>75</v>
      </c>
      <c r="H35" s="68">
        <v>75</v>
      </c>
      <c r="I35" s="68">
        <v>90</v>
      </c>
      <c r="J35" s="68">
        <v>90</v>
      </c>
      <c r="K35" s="68">
        <v>90</v>
      </c>
      <c r="L35" s="68">
        <v>90</v>
      </c>
      <c r="M35" s="68">
        <v>90</v>
      </c>
      <c r="N35" s="68">
        <v>90</v>
      </c>
      <c r="O35" s="68">
        <v>90</v>
      </c>
      <c r="P35" s="68">
        <v>90</v>
      </c>
      <c r="Q35" s="68">
        <v>90</v>
      </c>
      <c r="R35" s="68">
        <v>90</v>
      </c>
      <c r="S35" s="68">
        <v>90</v>
      </c>
      <c r="T35" s="68">
        <v>90</v>
      </c>
      <c r="U35" s="68">
        <v>90</v>
      </c>
      <c r="V35" s="68">
        <v>90</v>
      </c>
      <c r="W35" s="68">
        <v>90</v>
      </c>
      <c r="X35" s="68">
        <v>90</v>
      </c>
      <c r="Y35" s="68">
        <v>90</v>
      </c>
      <c r="Z35" s="68">
        <v>90</v>
      </c>
      <c r="AA35" s="60">
        <f>90*27</f>
        <v>2430</v>
      </c>
      <c r="AB35" s="53"/>
    </row>
    <row r="36" spans="1:28" s="54" customFormat="1" ht="15">
      <c r="A36" s="86" t="s">
        <v>101</v>
      </c>
      <c r="B36" s="72"/>
      <c r="C36" s="47">
        <f>C33*0.6</f>
        <v>60</v>
      </c>
      <c r="D36" s="48">
        <f>D33*0.6</f>
        <v>54</v>
      </c>
      <c r="E36" s="48">
        <f aca="true" t="shared" si="12" ref="E36:Z36">E33*0.6</f>
        <v>54</v>
      </c>
      <c r="F36" s="48">
        <f t="shared" si="12"/>
        <v>54</v>
      </c>
      <c r="G36" s="48">
        <f t="shared" si="12"/>
        <v>54</v>
      </c>
      <c r="H36" s="48">
        <f t="shared" si="12"/>
        <v>54</v>
      </c>
      <c r="I36" s="48">
        <f t="shared" si="12"/>
        <v>114</v>
      </c>
      <c r="J36" s="48">
        <f t="shared" si="12"/>
        <v>109.2</v>
      </c>
      <c r="K36" s="48">
        <f t="shared" si="12"/>
        <v>101.39999999999999</v>
      </c>
      <c r="L36" s="48">
        <f t="shared" si="12"/>
        <v>85.8</v>
      </c>
      <c r="M36" s="48">
        <f t="shared" si="12"/>
        <v>70.2</v>
      </c>
      <c r="N36" s="48">
        <f t="shared" si="12"/>
        <v>56.699999999999996</v>
      </c>
      <c r="O36" s="48">
        <f t="shared" si="12"/>
        <v>56.699999999999996</v>
      </c>
      <c r="P36" s="48">
        <f t="shared" si="12"/>
        <v>56.699999999999996</v>
      </c>
      <c r="Q36" s="48">
        <f t="shared" si="12"/>
        <v>60.75</v>
      </c>
      <c r="R36" s="48">
        <f t="shared" si="12"/>
        <v>63.00000000000001</v>
      </c>
      <c r="S36" s="48">
        <f t="shared" si="12"/>
        <v>63.00000000000001</v>
      </c>
      <c r="T36" s="48">
        <f t="shared" si="12"/>
        <v>67.2</v>
      </c>
      <c r="U36" s="48">
        <f t="shared" si="12"/>
        <v>67.2</v>
      </c>
      <c r="V36" s="48">
        <f t="shared" si="12"/>
        <v>74.39999999999999</v>
      </c>
      <c r="W36" s="48">
        <f t="shared" si="12"/>
        <v>79.05</v>
      </c>
      <c r="X36" s="48">
        <f t="shared" si="12"/>
        <v>79.05</v>
      </c>
      <c r="Y36" s="48">
        <f t="shared" si="12"/>
        <v>79.05</v>
      </c>
      <c r="Z36" s="48">
        <f t="shared" si="12"/>
        <v>86.39999999999999</v>
      </c>
      <c r="AA36" s="48">
        <f>AA33*0.6</f>
        <v>2592</v>
      </c>
      <c r="AB36" s="53"/>
    </row>
    <row r="37" spans="1:28" s="54" customFormat="1" ht="15">
      <c r="A37" s="86" t="s">
        <v>102</v>
      </c>
      <c r="B37" s="72"/>
      <c r="C37" s="73">
        <f>C33*0.15</f>
        <v>15</v>
      </c>
      <c r="D37" s="68">
        <f>D33*0.15</f>
        <v>13.5</v>
      </c>
      <c r="E37" s="68">
        <f aca="true" t="shared" si="13" ref="E37:AA37">E33*0.15</f>
        <v>13.5</v>
      </c>
      <c r="F37" s="68">
        <f t="shared" si="13"/>
        <v>13.5</v>
      </c>
      <c r="G37" s="68">
        <f t="shared" si="13"/>
        <v>13.5</v>
      </c>
      <c r="H37" s="68">
        <f t="shared" si="13"/>
        <v>13.5</v>
      </c>
      <c r="I37" s="68">
        <f t="shared" si="13"/>
        <v>28.5</v>
      </c>
      <c r="J37" s="68">
        <f t="shared" si="13"/>
        <v>27.3</v>
      </c>
      <c r="K37" s="68">
        <f t="shared" si="13"/>
        <v>25.349999999999998</v>
      </c>
      <c r="L37" s="68">
        <f t="shared" si="13"/>
        <v>21.45</v>
      </c>
      <c r="M37" s="68">
        <f t="shared" si="13"/>
        <v>17.55</v>
      </c>
      <c r="N37" s="68">
        <f t="shared" si="13"/>
        <v>14.174999999999999</v>
      </c>
      <c r="O37" s="68">
        <f t="shared" si="13"/>
        <v>14.174999999999999</v>
      </c>
      <c r="P37" s="68">
        <f t="shared" si="13"/>
        <v>14.174999999999999</v>
      </c>
      <c r="Q37" s="68">
        <f t="shared" si="13"/>
        <v>15.1875</v>
      </c>
      <c r="R37" s="68">
        <f t="shared" si="13"/>
        <v>15.750000000000002</v>
      </c>
      <c r="S37" s="68">
        <f t="shared" si="13"/>
        <v>15.750000000000002</v>
      </c>
      <c r="T37" s="68">
        <f t="shared" si="13"/>
        <v>16.8</v>
      </c>
      <c r="U37" s="68">
        <f t="shared" si="13"/>
        <v>16.8</v>
      </c>
      <c r="V37" s="68">
        <f t="shared" si="13"/>
        <v>18.599999999999998</v>
      </c>
      <c r="W37" s="68">
        <f t="shared" si="13"/>
        <v>19.7625</v>
      </c>
      <c r="X37" s="68">
        <f t="shared" si="13"/>
        <v>19.7625</v>
      </c>
      <c r="Y37" s="68">
        <f t="shared" si="13"/>
        <v>19.7625</v>
      </c>
      <c r="Z37" s="68">
        <f t="shared" si="13"/>
        <v>21.599999999999998</v>
      </c>
      <c r="AA37" s="68">
        <f t="shared" si="13"/>
        <v>648</v>
      </c>
      <c r="AB37" s="53"/>
    </row>
    <row r="38" spans="1:28" s="54" customFormat="1" ht="15">
      <c r="A38" s="86" t="s">
        <v>103</v>
      </c>
      <c r="B38" s="72"/>
      <c r="C38" s="73">
        <f>C33*0.1</f>
        <v>10</v>
      </c>
      <c r="D38" s="68">
        <f>D33*0.1</f>
        <v>9</v>
      </c>
      <c r="E38" s="68">
        <f aca="true" t="shared" si="14" ref="E38:AA38">E33*0.1</f>
        <v>9</v>
      </c>
      <c r="F38" s="68">
        <f t="shared" si="14"/>
        <v>9</v>
      </c>
      <c r="G38" s="68">
        <f t="shared" si="14"/>
        <v>9</v>
      </c>
      <c r="H38" s="68">
        <f t="shared" si="14"/>
        <v>9</v>
      </c>
      <c r="I38" s="68">
        <f t="shared" si="14"/>
        <v>19</v>
      </c>
      <c r="J38" s="68">
        <f t="shared" si="14"/>
        <v>18.2</v>
      </c>
      <c r="K38" s="68">
        <f t="shared" si="14"/>
        <v>16.900000000000002</v>
      </c>
      <c r="L38" s="68">
        <f t="shared" si="14"/>
        <v>14.3</v>
      </c>
      <c r="M38" s="68">
        <f t="shared" si="14"/>
        <v>11.700000000000001</v>
      </c>
      <c r="N38" s="68">
        <f t="shared" si="14"/>
        <v>9.450000000000001</v>
      </c>
      <c r="O38" s="68">
        <f t="shared" si="14"/>
        <v>9.450000000000001</v>
      </c>
      <c r="P38" s="68">
        <f t="shared" si="14"/>
        <v>9.450000000000001</v>
      </c>
      <c r="Q38" s="68">
        <f t="shared" si="14"/>
        <v>10.125</v>
      </c>
      <c r="R38" s="68">
        <f t="shared" si="14"/>
        <v>10.500000000000002</v>
      </c>
      <c r="S38" s="68">
        <f t="shared" si="14"/>
        <v>10.500000000000002</v>
      </c>
      <c r="T38" s="68">
        <f t="shared" si="14"/>
        <v>11.200000000000003</v>
      </c>
      <c r="U38" s="68">
        <f t="shared" si="14"/>
        <v>11.200000000000003</v>
      </c>
      <c r="V38" s="68">
        <f t="shared" si="14"/>
        <v>12.4</v>
      </c>
      <c r="W38" s="68">
        <f t="shared" si="14"/>
        <v>13.175</v>
      </c>
      <c r="X38" s="68">
        <f t="shared" si="14"/>
        <v>13.175</v>
      </c>
      <c r="Y38" s="68">
        <f t="shared" si="14"/>
        <v>13.175</v>
      </c>
      <c r="Z38" s="68">
        <f t="shared" si="14"/>
        <v>14.4</v>
      </c>
      <c r="AA38" s="68">
        <f t="shared" si="14"/>
        <v>432</v>
      </c>
      <c r="AB38" s="53"/>
    </row>
    <row r="39" spans="1:28" s="54" customFormat="1" ht="15">
      <c r="A39" s="86" t="s">
        <v>104</v>
      </c>
      <c r="B39" s="72"/>
      <c r="C39" s="73">
        <f>C33*0.05</f>
        <v>5</v>
      </c>
      <c r="D39" s="68">
        <f>D33*0.05</f>
        <v>4.5</v>
      </c>
      <c r="E39" s="68">
        <f aca="true" t="shared" si="15" ref="E39:AA39">E33*0.05</f>
        <v>4.5</v>
      </c>
      <c r="F39" s="68">
        <f t="shared" si="15"/>
        <v>4.5</v>
      </c>
      <c r="G39" s="68">
        <f t="shared" si="15"/>
        <v>4.5</v>
      </c>
      <c r="H39" s="68">
        <f t="shared" si="15"/>
        <v>4.5</v>
      </c>
      <c r="I39" s="68">
        <f t="shared" si="15"/>
        <v>9.5</v>
      </c>
      <c r="J39" s="68">
        <f t="shared" si="15"/>
        <v>9.1</v>
      </c>
      <c r="K39" s="68">
        <f t="shared" si="15"/>
        <v>8.450000000000001</v>
      </c>
      <c r="L39" s="68">
        <f t="shared" si="15"/>
        <v>7.15</v>
      </c>
      <c r="M39" s="68">
        <f t="shared" si="15"/>
        <v>5.8500000000000005</v>
      </c>
      <c r="N39" s="68">
        <f t="shared" si="15"/>
        <v>4.7250000000000005</v>
      </c>
      <c r="O39" s="68">
        <f t="shared" si="15"/>
        <v>4.7250000000000005</v>
      </c>
      <c r="P39" s="68">
        <f t="shared" si="15"/>
        <v>4.7250000000000005</v>
      </c>
      <c r="Q39" s="68">
        <f t="shared" si="15"/>
        <v>5.0625</v>
      </c>
      <c r="R39" s="68">
        <f t="shared" si="15"/>
        <v>5.250000000000001</v>
      </c>
      <c r="S39" s="68">
        <f t="shared" si="15"/>
        <v>5.250000000000001</v>
      </c>
      <c r="T39" s="68">
        <f t="shared" si="15"/>
        <v>5.600000000000001</v>
      </c>
      <c r="U39" s="68">
        <f t="shared" si="15"/>
        <v>5.600000000000001</v>
      </c>
      <c r="V39" s="68">
        <f t="shared" si="15"/>
        <v>6.2</v>
      </c>
      <c r="W39" s="68">
        <f t="shared" si="15"/>
        <v>6.5875</v>
      </c>
      <c r="X39" s="68">
        <f t="shared" si="15"/>
        <v>6.5875</v>
      </c>
      <c r="Y39" s="68">
        <f t="shared" si="15"/>
        <v>6.5875</v>
      </c>
      <c r="Z39" s="68">
        <f t="shared" si="15"/>
        <v>7.2</v>
      </c>
      <c r="AA39" s="68">
        <f t="shared" si="15"/>
        <v>216</v>
      </c>
      <c r="AB39" s="53"/>
    </row>
    <row r="40" spans="1:28" s="54" customFormat="1" ht="15">
      <c r="A40" s="88" t="s">
        <v>15</v>
      </c>
      <c r="B40" s="89">
        <f>SUM(C40:AA40)</f>
        <v>10937.7</v>
      </c>
      <c r="C40" s="90">
        <f aca="true" t="shared" si="16" ref="C40:AA40">SUM(C35:C39)</f>
        <v>165</v>
      </c>
      <c r="D40" s="91">
        <f t="shared" si="16"/>
        <v>156</v>
      </c>
      <c r="E40" s="91">
        <f t="shared" si="16"/>
        <v>156</v>
      </c>
      <c r="F40" s="91">
        <f t="shared" si="16"/>
        <v>156</v>
      </c>
      <c r="G40" s="91">
        <f t="shared" si="16"/>
        <v>156</v>
      </c>
      <c r="H40" s="91">
        <f t="shared" si="16"/>
        <v>156</v>
      </c>
      <c r="I40" s="91">
        <f t="shared" si="16"/>
        <v>261</v>
      </c>
      <c r="J40" s="91">
        <f t="shared" si="16"/>
        <v>253.79999999999998</v>
      </c>
      <c r="K40" s="91">
        <f t="shared" si="16"/>
        <v>242.09999999999997</v>
      </c>
      <c r="L40" s="91">
        <f t="shared" si="16"/>
        <v>218.70000000000002</v>
      </c>
      <c r="M40" s="91">
        <f t="shared" si="16"/>
        <v>195.29999999999998</v>
      </c>
      <c r="N40" s="91">
        <f t="shared" si="16"/>
        <v>175.04999999999998</v>
      </c>
      <c r="O40" s="91">
        <f t="shared" si="16"/>
        <v>175.04999999999998</v>
      </c>
      <c r="P40" s="91">
        <f t="shared" si="16"/>
        <v>175.04999999999998</v>
      </c>
      <c r="Q40" s="91">
        <f t="shared" si="16"/>
        <v>181.125</v>
      </c>
      <c r="R40" s="91">
        <f t="shared" si="16"/>
        <v>184.5</v>
      </c>
      <c r="S40" s="91">
        <f t="shared" si="16"/>
        <v>184.5</v>
      </c>
      <c r="T40" s="91">
        <f t="shared" si="16"/>
        <v>190.79999999999998</v>
      </c>
      <c r="U40" s="91">
        <f t="shared" si="16"/>
        <v>190.79999999999998</v>
      </c>
      <c r="V40" s="91">
        <f t="shared" si="16"/>
        <v>201.59999999999997</v>
      </c>
      <c r="W40" s="91">
        <f t="shared" si="16"/>
        <v>208.57500000000002</v>
      </c>
      <c r="X40" s="91">
        <f t="shared" si="16"/>
        <v>208.57500000000002</v>
      </c>
      <c r="Y40" s="91">
        <f t="shared" si="16"/>
        <v>208.57500000000002</v>
      </c>
      <c r="Z40" s="91">
        <f t="shared" si="16"/>
        <v>219.59999999999997</v>
      </c>
      <c r="AA40" s="92">
        <f t="shared" si="16"/>
        <v>6318</v>
      </c>
      <c r="AB40" s="53"/>
    </row>
    <row r="41" spans="1:28" s="54" customFormat="1" ht="15.75" thickBot="1">
      <c r="A41" s="93" t="s">
        <v>16</v>
      </c>
      <c r="B41" s="94"/>
      <c r="C41" s="95">
        <f aca="true" t="shared" si="17" ref="C41:AA41">C34-C40</f>
        <v>-65</v>
      </c>
      <c r="D41" s="94">
        <f t="shared" si="17"/>
        <v>-66</v>
      </c>
      <c r="E41" s="94">
        <f t="shared" si="17"/>
        <v>-66</v>
      </c>
      <c r="F41" s="94">
        <f t="shared" si="17"/>
        <v>-66</v>
      </c>
      <c r="G41" s="94">
        <f t="shared" si="17"/>
        <v>-66</v>
      </c>
      <c r="H41" s="94">
        <f t="shared" si="17"/>
        <v>-66</v>
      </c>
      <c r="I41" s="94">
        <f t="shared" si="17"/>
        <v>-71</v>
      </c>
      <c r="J41" s="94">
        <f t="shared" si="17"/>
        <v>-71.79999999999998</v>
      </c>
      <c r="K41" s="94">
        <f t="shared" si="17"/>
        <v>-73.09999999999997</v>
      </c>
      <c r="L41" s="94">
        <f t="shared" si="17"/>
        <v>-75.70000000000002</v>
      </c>
      <c r="M41" s="94">
        <f t="shared" si="17"/>
        <v>-78.29999999999998</v>
      </c>
      <c r="N41" s="94">
        <f t="shared" si="17"/>
        <v>-80.54999999999998</v>
      </c>
      <c r="O41" s="94">
        <f t="shared" si="17"/>
        <v>-80.54999999999998</v>
      </c>
      <c r="P41" s="94">
        <f t="shared" si="17"/>
        <v>-80.54999999999998</v>
      </c>
      <c r="Q41" s="94">
        <f t="shared" si="17"/>
        <v>-79.875</v>
      </c>
      <c r="R41" s="94">
        <f t="shared" si="17"/>
        <v>-79.49999999999999</v>
      </c>
      <c r="S41" s="94">
        <f t="shared" si="17"/>
        <v>-79.49999999999999</v>
      </c>
      <c r="T41" s="94">
        <f t="shared" si="17"/>
        <v>-78.79999999999997</v>
      </c>
      <c r="U41" s="94">
        <f t="shared" si="17"/>
        <v>-78.79999999999997</v>
      </c>
      <c r="V41" s="94">
        <f t="shared" si="17"/>
        <v>-77.59999999999997</v>
      </c>
      <c r="W41" s="94">
        <f t="shared" si="17"/>
        <v>-76.82500000000002</v>
      </c>
      <c r="X41" s="94">
        <f t="shared" si="17"/>
        <v>-76.82500000000002</v>
      </c>
      <c r="Y41" s="94">
        <f t="shared" si="17"/>
        <v>-76.82500000000002</v>
      </c>
      <c r="Z41" s="94">
        <f t="shared" si="17"/>
        <v>-75.59999999999997</v>
      </c>
      <c r="AA41" s="96">
        <f t="shared" si="17"/>
        <v>-1998</v>
      </c>
      <c r="AB41" s="53"/>
    </row>
    <row r="42" spans="1:28" ht="15.75" thickTop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9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ht="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14" ht="15">
      <c r="A49" s="29" t="s">
        <v>20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">
      <c r="A50" s="29" t="s">
        <v>19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">
      <c r="A51" s="29" t="s">
        <v>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">
      <c r="A53" s="29" t="s">
        <v>22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">
      <c r="A54" s="29" t="s">
        <v>18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</sheetData>
  <sheetProtection/>
  <mergeCells count="6">
    <mergeCell ref="A5:A6"/>
    <mergeCell ref="B5:B6"/>
    <mergeCell ref="A29:A30"/>
    <mergeCell ref="B29:B30"/>
    <mergeCell ref="C5:AA5"/>
    <mergeCell ref="C29:AA2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zoomScalePageLayoutView="0" workbookViewId="0" topLeftCell="A37">
      <selection activeCell="A1" sqref="A1:F48"/>
    </sheetView>
  </sheetViews>
  <sheetFormatPr defaultColWidth="9.140625" defaultRowHeight="15"/>
  <cols>
    <col min="1" max="1" width="38.57421875" style="3" customWidth="1"/>
    <col min="2" max="6" width="17.421875" style="3" customWidth="1"/>
    <col min="7" max="7" width="4.421875" style="3" customWidth="1"/>
    <col min="8" max="28" width="4.00390625" style="3" customWidth="1"/>
    <col min="29" max="16384" width="9.140625" style="3" customWidth="1"/>
  </cols>
  <sheetData>
    <row r="1" spans="1:11" s="10" customFormat="1" ht="18.75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0.75" customHeight="1">
      <c r="A2" s="130" t="s">
        <v>88</v>
      </c>
      <c r="B2" s="131"/>
      <c r="C2" s="131"/>
      <c r="D2" s="131"/>
      <c r="E2" s="131"/>
      <c r="F2" s="131"/>
      <c r="G2" s="32"/>
      <c r="H2" s="32"/>
      <c r="I2" s="32"/>
      <c r="J2" s="32"/>
      <c r="K2" s="32"/>
    </row>
    <row r="3" spans="1:11" ht="78.75" customHeight="1">
      <c r="A3" s="12" t="s">
        <v>8</v>
      </c>
      <c r="B3" s="22" t="s">
        <v>84</v>
      </c>
      <c r="C3" s="22" t="s">
        <v>83</v>
      </c>
      <c r="D3" s="22" t="s">
        <v>85</v>
      </c>
      <c r="E3" s="22" t="s">
        <v>86</v>
      </c>
      <c r="F3" s="22" t="s">
        <v>87</v>
      </c>
      <c r="G3" s="32"/>
      <c r="H3" s="32"/>
      <c r="I3" s="32"/>
      <c r="J3" s="32"/>
      <c r="K3" s="32"/>
    </row>
    <row r="4" spans="1:11" ht="15">
      <c r="A4" s="13">
        <v>2016</v>
      </c>
      <c r="B4" s="14">
        <f>'1. ASTRA Investeerimiskulud'!C15-'1. ASTRA Investeerimiskulud'!C28</f>
        <v>5</v>
      </c>
      <c r="C4" s="14">
        <f>'2. ASTRA Tegevustulud ja -kulud'!C23-'2. ASTRA Tegevustulud ja -kulud'!C40</f>
        <v>0</v>
      </c>
      <c r="D4" s="14">
        <f>'2. ASTRA Tegevustulud ja -kulud'!C12-'2. ASTRA Tegevustulud ja -kulud'!C34</f>
        <v>0</v>
      </c>
      <c r="E4" s="14">
        <f>'1. ASTRA Investeerimiskulud'!C14-'1. ASTRA Investeerimiskulud'!C27</f>
        <v>0</v>
      </c>
      <c r="F4" s="15">
        <f>E4+D4+-C4-B4</f>
        <v>-5</v>
      </c>
      <c r="G4" s="32"/>
      <c r="H4" s="40"/>
      <c r="I4" s="32"/>
      <c r="J4" s="32"/>
      <c r="K4" s="32"/>
    </row>
    <row r="5" spans="1:11" ht="15">
      <c r="A5" s="13">
        <v>2017</v>
      </c>
      <c r="B5" s="14">
        <f>'1. ASTRA Investeerimiskulud'!D15-'1. ASTRA Investeerimiskulud'!D28</f>
        <v>909.474</v>
      </c>
      <c r="C5" s="14">
        <f>'2. ASTRA Tegevustulud ja -kulud'!D23-'2. ASTRA Tegevustulud ja -kulud'!D40</f>
        <v>16.900000000000006</v>
      </c>
      <c r="D5" s="49">
        <f>'2. ASTRA Tegevustulud ja -kulud'!D12-'2. ASTRA Tegevustulud ja -kulud'!D34</f>
        <v>0</v>
      </c>
      <c r="E5" s="14">
        <f>'1. ASTRA Investeerimiskulud'!D14-'1. ASTRA Investeerimiskulud'!D27</f>
        <v>0</v>
      </c>
      <c r="F5" s="15">
        <f aca="true" t="shared" si="0" ref="F5:F28">E5+D5+-C5-B5</f>
        <v>-926.374</v>
      </c>
      <c r="G5" s="32"/>
      <c r="H5" s="40"/>
      <c r="I5" s="32"/>
      <c r="J5" s="32"/>
      <c r="K5" s="32"/>
    </row>
    <row r="6" spans="1:11" ht="15">
      <c r="A6" s="13">
        <v>2018</v>
      </c>
      <c r="B6" s="14">
        <f>'1. ASTRA Investeerimiskulud'!E15-'1. ASTRA Investeerimiskulud'!E28</f>
        <v>180</v>
      </c>
      <c r="C6" s="14">
        <f>'2. ASTRA Tegevustulud ja -kulud'!E23-'2. ASTRA Tegevustulud ja -kulud'!E40</f>
        <v>50.89999999999998</v>
      </c>
      <c r="D6" s="49">
        <f>'2. ASTRA Tegevustulud ja -kulud'!E12-'2. ASTRA Tegevustulud ja -kulud'!E34</f>
        <v>20.299999999999997</v>
      </c>
      <c r="E6" s="14">
        <f>'1. ASTRA Investeerimiskulud'!E14-'1. ASTRA Investeerimiskulud'!E27</f>
        <v>0</v>
      </c>
      <c r="F6" s="14">
        <f t="shared" si="0"/>
        <v>-210.59999999999997</v>
      </c>
      <c r="G6" s="32"/>
      <c r="H6" s="32"/>
      <c r="I6" s="32"/>
      <c r="J6" s="32"/>
      <c r="K6" s="32"/>
    </row>
    <row r="7" spans="1:11" ht="15">
      <c r="A7" s="13">
        <v>2019</v>
      </c>
      <c r="B7" s="14">
        <f>'1. ASTRA Investeerimiskulud'!F15-'1. ASTRA Investeerimiskulud'!F28</f>
        <v>250</v>
      </c>
      <c r="C7" s="14">
        <f>'2. ASTRA Tegevustulud ja -kulud'!F23-'2. ASTRA Tegevustulud ja -kulud'!F40</f>
        <v>50.89999999999998</v>
      </c>
      <c r="D7" s="49">
        <f>'2. ASTRA Tegevustulud ja -kulud'!F12-'2. ASTRA Tegevustulud ja -kulud'!F34</f>
        <v>20.299999999999997</v>
      </c>
      <c r="E7" s="14">
        <f>'1. ASTRA Investeerimiskulud'!F14-'1. ASTRA Investeerimiskulud'!F27</f>
        <v>0</v>
      </c>
      <c r="F7" s="15">
        <f t="shared" si="0"/>
        <v>-280.59999999999997</v>
      </c>
      <c r="G7" s="32"/>
      <c r="H7" s="32"/>
      <c r="I7" s="32"/>
      <c r="J7" s="32"/>
      <c r="K7" s="32"/>
    </row>
    <row r="8" spans="1:11" ht="15">
      <c r="A8" s="13">
        <v>2020</v>
      </c>
      <c r="B8" s="14">
        <f>'1. ASTRA Investeerimiskulud'!G15-'1. ASTRA Investeerimiskulud'!G28</f>
        <v>82</v>
      </c>
      <c r="C8" s="14">
        <f>'2. ASTRA Tegevustulud ja -kulud'!G23-'2. ASTRA Tegevustulud ja -kulud'!G40</f>
        <v>52.599999999999994</v>
      </c>
      <c r="D8" s="49">
        <f>'2. ASTRA Tegevustulud ja -kulud'!G12-'2. ASTRA Tegevustulud ja -kulud'!G34</f>
        <v>20.299999999999997</v>
      </c>
      <c r="E8" s="14">
        <f>'1. ASTRA Investeerimiskulud'!G14-'1. ASTRA Investeerimiskulud'!G27</f>
        <v>0</v>
      </c>
      <c r="F8" s="15">
        <f t="shared" si="0"/>
        <v>-114.3</v>
      </c>
      <c r="G8" s="32"/>
      <c r="H8" s="32"/>
      <c r="I8" s="32"/>
      <c r="J8" s="32"/>
      <c r="K8" s="32"/>
    </row>
    <row r="9" spans="1:11" ht="15">
      <c r="A9" s="13">
        <v>2021</v>
      </c>
      <c r="B9" s="14">
        <f>'1. ASTRA Investeerimiskulud'!H15-'1. ASTRA Investeerimiskulud'!H28</f>
        <v>65</v>
      </c>
      <c r="C9" s="14">
        <f>'2. ASTRA Tegevustulud ja -kulud'!H23-'2. ASTRA Tegevustulud ja -kulud'!H40</f>
        <v>53.5</v>
      </c>
      <c r="D9" s="49">
        <f>'2. ASTRA Tegevustulud ja -kulud'!H12-'2. ASTRA Tegevustulud ja -kulud'!H34</f>
        <v>20.299999999999997</v>
      </c>
      <c r="E9" s="14">
        <f>'1. ASTRA Investeerimiskulud'!H14-'1. ASTRA Investeerimiskulud'!H27</f>
        <v>0</v>
      </c>
      <c r="F9" s="15">
        <f t="shared" si="0"/>
        <v>-98.2</v>
      </c>
      <c r="G9" s="32"/>
      <c r="H9" s="32"/>
      <c r="I9" s="32"/>
      <c r="J9" s="32"/>
      <c r="K9" s="32"/>
    </row>
    <row r="10" spans="1:11" ht="15">
      <c r="A10" s="13">
        <v>2022</v>
      </c>
      <c r="B10" s="14">
        <f>'1. ASTRA Investeerimiskulud'!I15-'1. ASTRA Investeerimiskulud'!I28</f>
        <v>68.263</v>
      </c>
      <c r="C10" s="14">
        <f>'2. ASTRA Tegevustulud ja -kulud'!I23-'2. ASTRA Tegevustulud ja -kulud'!I40</f>
        <v>50.700000000000045</v>
      </c>
      <c r="D10" s="49">
        <f>'2. ASTRA Tegevustulud ja -kulud'!I12-'2. ASTRA Tegevustulud ja -kulud'!I34</f>
        <v>40.30000000000001</v>
      </c>
      <c r="E10" s="14">
        <f>'1. ASTRA Investeerimiskulud'!I14-'1. ASTRA Investeerimiskulud'!I27</f>
        <v>0</v>
      </c>
      <c r="F10" s="15">
        <f t="shared" si="0"/>
        <v>-78.66300000000004</v>
      </c>
      <c r="G10" s="32"/>
      <c r="H10" s="32"/>
      <c r="I10" s="32"/>
      <c r="J10" s="32"/>
      <c r="K10" s="32"/>
    </row>
    <row r="11" spans="1:11" ht="15">
      <c r="A11" s="13">
        <v>2023</v>
      </c>
      <c r="B11" s="14">
        <f>'1. ASTRA Investeerimiskulud'!J15-'1. ASTRA Investeerimiskulud'!J28</f>
        <v>0</v>
      </c>
      <c r="C11" s="14">
        <f>'2. ASTRA Tegevustulud ja -kulud'!J23-'2. ASTRA Tegevustulud ja -kulud'!J40</f>
        <v>53.90000000000006</v>
      </c>
      <c r="D11" s="49">
        <f>'2. ASTRA Tegevustulud ja -kulud'!J12-'2. ASTRA Tegevustulud ja -kulud'!J34</f>
        <v>43.30000000000001</v>
      </c>
      <c r="E11" s="14">
        <f>'1. ASTRA Investeerimiskulud'!J14-'1. ASTRA Investeerimiskulud'!J27</f>
        <v>0</v>
      </c>
      <c r="F11" s="15">
        <f t="shared" si="0"/>
        <v>-10.600000000000051</v>
      </c>
      <c r="G11" s="32"/>
      <c r="H11" s="32"/>
      <c r="I11" s="32"/>
      <c r="J11" s="32"/>
      <c r="K11" s="32"/>
    </row>
    <row r="12" spans="1:11" ht="15">
      <c r="A12" s="13">
        <v>2024</v>
      </c>
      <c r="B12" s="14">
        <f>'1. ASTRA Investeerimiskulud'!K15-'1. ASTRA Investeerimiskulud'!K28</f>
        <v>0</v>
      </c>
      <c r="C12" s="14">
        <f>'2. ASTRA Tegevustulud ja -kulud'!K23-'2. ASTRA Tegevustulud ja -kulud'!K40</f>
        <v>54.80000000000007</v>
      </c>
      <c r="D12" s="49">
        <f>'2. ASTRA Tegevustulud ja -kulud'!K12-'2. ASTRA Tegevustulud ja -kulud'!K34</f>
        <v>43.30000000000001</v>
      </c>
      <c r="E12" s="14">
        <f>'1. ASTRA Investeerimiskulud'!K14-'1. ASTRA Investeerimiskulud'!K27</f>
        <v>0</v>
      </c>
      <c r="F12" s="15">
        <f t="shared" si="0"/>
        <v>-11.500000000000057</v>
      </c>
      <c r="G12" s="32"/>
      <c r="H12" s="32"/>
      <c r="I12" s="32"/>
      <c r="J12" s="32"/>
      <c r="K12" s="32"/>
    </row>
    <row r="13" spans="1:11" ht="15">
      <c r="A13" s="13">
        <v>2025</v>
      </c>
      <c r="B13" s="14">
        <f>'1. ASTRA Investeerimiskulud'!L15-'1. ASTRA Investeerimiskulud'!L28</f>
        <v>3</v>
      </c>
      <c r="C13" s="14">
        <f>'2. ASTRA Tegevustulud ja -kulud'!L23-'2. ASTRA Tegevustulud ja -kulud'!L40</f>
        <v>55.50000000000003</v>
      </c>
      <c r="D13" s="49">
        <f>'2. ASTRA Tegevustulud ja -kulud'!L12-'2. ASTRA Tegevustulud ja -kulud'!L34</f>
        <v>43.30000000000001</v>
      </c>
      <c r="E13" s="14">
        <f>'1. ASTRA Investeerimiskulud'!L14-'1. ASTRA Investeerimiskulud'!L27</f>
        <v>0</v>
      </c>
      <c r="F13" s="15">
        <f t="shared" si="0"/>
        <v>-15.200000000000017</v>
      </c>
      <c r="G13" s="32"/>
      <c r="H13" s="32"/>
      <c r="I13" s="32"/>
      <c r="J13" s="32"/>
      <c r="K13" s="32"/>
    </row>
    <row r="14" spans="1:11" ht="15">
      <c r="A14" s="13">
        <v>2026</v>
      </c>
      <c r="B14" s="14">
        <f>'1. ASTRA Investeerimiskulud'!M15-'1. ASTRA Investeerimiskulud'!M28</f>
        <v>0</v>
      </c>
      <c r="C14" s="14">
        <f>'2. ASTRA Tegevustulud ja -kulud'!M23-'2. ASTRA Tegevustulud ja -kulud'!M40</f>
        <v>55.70000000000002</v>
      </c>
      <c r="D14" s="49">
        <f>'2. ASTRA Tegevustulud ja -kulud'!M12-'2. ASTRA Tegevustulud ja -kulud'!M34</f>
        <v>43.30000000000001</v>
      </c>
      <c r="E14" s="14">
        <f>'1. ASTRA Investeerimiskulud'!M14-'1. ASTRA Investeerimiskulud'!M27</f>
        <v>0</v>
      </c>
      <c r="F14" s="15">
        <f t="shared" si="0"/>
        <v>-12.400000000000006</v>
      </c>
      <c r="G14" s="32"/>
      <c r="H14" s="32"/>
      <c r="I14" s="32"/>
      <c r="J14" s="32"/>
      <c r="K14" s="32"/>
    </row>
    <row r="15" spans="1:11" ht="15">
      <c r="A15" s="13">
        <v>2027</v>
      </c>
      <c r="B15" s="14">
        <f>'1. ASTRA Investeerimiskulud'!N15-'1. ASTRA Investeerimiskulud'!N28</f>
        <v>110</v>
      </c>
      <c r="C15" s="14">
        <f>'2. ASTRA Tegevustulud ja -kulud'!N23-'2. ASTRA Tegevustulud ja -kulud'!N40</f>
        <v>56.85000000000002</v>
      </c>
      <c r="D15" s="49">
        <f>'2. ASTRA Tegevustulud ja -kulud'!N12-'2. ASTRA Tegevustulud ja -kulud'!N34</f>
        <v>43.80000000000001</v>
      </c>
      <c r="E15" s="14">
        <f>'1. ASTRA Investeerimiskulud'!N14-'1. ASTRA Investeerimiskulud'!N27</f>
        <v>0</v>
      </c>
      <c r="F15" s="15">
        <f t="shared" si="0"/>
        <v>-123.05000000000001</v>
      </c>
      <c r="G15" s="32"/>
      <c r="H15" s="32"/>
      <c r="I15" s="32"/>
      <c r="J15" s="32"/>
      <c r="K15" s="32"/>
    </row>
    <row r="16" spans="1:11" ht="15">
      <c r="A16" s="13">
        <v>2028</v>
      </c>
      <c r="B16" s="14">
        <f>'1. ASTRA Investeerimiskulud'!O15-'1. ASTRA Investeerimiskulud'!O28</f>
        <v>3</v>
      </c>
      <c r="C16" s="14">
        <f>'2. ASTRA Tegevustulud ja -kulud'!O23-'2. ASTRA Tegevustulud ja -kulud'!O40</f>
        <v>56.85000000000002</v>
      </c>
      <c r="D16" s="49">
        <f>'2. ASTRA Tegevustulud ja -kulud'!O12-'2. ASTRA Tegevustulud ja -kulud'!O34</f>
        <v>43.80000000000001</v>
      </c>
      <c r="E16" s="14">
        <f>'1. ASTRA Investeerimiskulud'!O14-'1. ASTRA Investeerimiskulud'!O27</f>
        <v>0</v>
      </c>
      <c r="F16" s="15">
        <f t="shared" si="0"/>
        <v>-16.05000000000001</v>
      </c>
      <c r="G16" s="32"/>
      <c r="H16" s="32"/>
      <c r="I16" s="32"/>
      <c r="J16" s="32"/>
      <c r="K16" s="32"/>
    </row>
    <row r="17" spans="1:11" ht="15">
      <c r="A17" s="13">
        <v>2029</v>
      </c>
      <c r="B17" s="14">
        <f>'1. ASTRA Investeerimiskulud'!P15-'1. ASTRA Investeerimiskulud'!P28</f>
        <v>0</v>
      </c>
      <c r="C17" s="14">
        <f>'2. ASTRA Tegevustulud ja -kulud'!P23-'2. ASTRA Tegevustulud ja -kulud'!P40</f>
        <v>57.450000000000045</v>
      </c>
      <c r="D17" s="49">
        <f>'2. ASTRA Tegevustulud ja -kulud'!P12-'2. ASTRA Tegevustulud ja -kulud'!P34</f>
        <v>43.80000000000001</v>
      </c>
      <c r="E17" s="14">
        <f>'1. ASTRA Investeerimiskulud'!P14-'1. ASTRA Investeerimiskulud'!P27</f>
        <v>0</v>
      </c>
      <c r="F17" s="15">
        <f t="shared" si="0"/>
        <v>-13.650000000000034</v>
      </c>
      <c r="G17" s="32"/>
      <c r="H17" s="32"/>
      <c r="I17" s="32"/>
      <c r="J17" s="32"/>
      <c r="K17" s="32"/>
    </row>
    <row r="18" spans="1:11" ht="15">
      <c r="A18" s="13">
        <v>2030</v>
      </c>
      <c r="B18" s="14">
        <f>'1. ASTRA Investeerimiskulud'!Q15-'1. ASTRA Investeerimiskulud'!Q28</f>
        <v>0</v>
      </c>
      <c r="C18" s="14">
        <f>'2. ASTRA Tegevustulud ja -kulud'!Q23-'2. ASTRA Tegevustulud ja -kulud'!Q40</f>
        <v>57.450000000000045</v>
      </c>
      <c r="D18" s="49">
        <f>'2. ASTRA Tegevustulud ja -kulud'!Q12-'2. ASTRA Tegevustulud ja -kulud'!Q34</f>
        <v>43.80000000000001</v>
      </c>
      <c r="E18" s="14">
        <f>'1. ASTRA Investeerimiskulud'!Q14-'1. ASTRA Investeerimiskulud'!Q27</f>
        <v>0</v>
      </c>
      <c r="F18" s="15">
        <f t="shared" si="0"/>
        <v>-13.650000000000034</v>
      </c>
      <c r="G18" s="32"/>
      <c r="H18" s="32"/>
      <c r="I18" s="32"/>
      <c r="J18" s="32"/>
      <c r="K18" s="32"/>
    </row>
    <row r="19" spans="1:11" ht="15">
      <c r="A19" s="13">
        <v>2031</v>
      </c>
      <c r="B19" s="14">
        <f>'1. ASTRA Investeerimiskulud'!R15-'1. ASTRA Investeerimiskulud'!R28</f>
        <v>3</v>
      </c>
      <c r="C19" s="14">
        <f>'2. ASTRA Tegevustulud ja -kulud'!R23-'2. ASTRA Tegevustulud ja -kulud'!R40</f>
        <v>58.900000000000006</v>
      </c>
      <c r="D19" s="49">
        <f>'2. ASTRA Tegevustulud ja -kulud'!R12-'2. ASTRA Tegevustulud ja -kulud'!R34</f>
        <v>44.3</v>
      </c>
      <c r="E19" s="14">
        <f>'1. ASTRA Investeerimiskulud'!R14-'1. ASTRA Investeerimiskulud'!R27</f>
        <v>0</v>
      </c>
      <c r="F19" s="15">
        <f t="shared" si="0"/>
        <v>-17.60000000000001</v>
      </c>
      <c r="G19" s="32"/>
      <c r="H19" s="32"/>
      <c r="I19" s="32"/>
      <c r="J19" s="32"/>
      <c r="K19" s="32"/>
    </row>
    <row r="20" spans="1:11" ht="15">
      <c r="A20" s="13">
        <v>2032</v>
      </c>
      <c r="B20" s="14">
        <f>'1. ASTRA Investeerimiskulud'!S15-'1. ASTRA Investeerimiskulud'!S28</f>
        <v>20</v>
      </c>
      <c r="C20" s="14">
        <f>'2. ASTRA Tegevustulud ja -kulud'!S23-'2. ASTRA Tegevustulud ja -kulud'!S40</f>
        <v>58.900000000000006</v>
      </c>
      <c r="D20" s="49">
        <f>'2. ASTRA Tegevustulud ja -kulud'!S12-'2. ASTRA Tegevustulud ja -kulud'!S34</f>
        <v>44.3</v>
      </c>
      <c r="E20" s="14">
        <f>'1. ASTRA Investeerimiskulud'!S14-'1. ASTRA Investeerimiskulud'!S27</f>
        <v>0</v>
      </c>
      <c r="F20" s="15">
        <f t="shared" si="0"/>
        <v>-34.60000000000001</v>
      </c>
      <c r="G20" s="32"/>
      <c r="H20" s="32"/>
      <c r="I20" s="32"/>
      <c r="J20" s="32"/>
      <c r="K20" s="32"/>
    </row>
    <row r="21" spans="1:11" ht="15">
      <c r="A21" s="13">
        <v>2033</v>
      </c>
      <c r="B21" s="14">
        <f>'1. ASTRA Investeerimiskulud'!T15-'1. ASTRA Investeerimiskulud'!T28</f>
        <v>0</v>
      </c>
      <c r="C21" s="14">
        <f>'2. ASTRA Tegevustulud ja -kulud'!T23-'2. ASTRA Tegevustulud ja -kulud'!T40</f>
        <v>59.50000000000003</v>
      </c>
      <c r="D21" s="49">
        <f>'2. ASTRA Tegevustulud ja -kulud'!T12-'2. ASTRA Tegevustulud ja -kulud'!T34</f>
        <v>44.3</v>
      </c>
      <c r="E21" s="14">
        <f>'1. ASTRA Investeerimiskulud'!T14-'1. ASTRA Investeerimiskulud'!T27</f>
        <v>0</v>
      </c>
      <c r="F21" s="15">
        <f t="shared" si="0"/>
        <v>-15.200000000000031</v>
      </c>
      <c r="G21" s="32"/>
      <c r="H21" s="32"/>
      <c r="I21" s="32"/>
      <c r="J21" s="32"/>
      <c r="K21" s="32"/>
    </row>
    <row r="22" spans="1:11" ht="15">
      <c r="A22" s="13">
        <v>2034</v>
      </c>
      <c r="B22" s="14">
        <f>'1. ASTRA Investeerimiskulud'!U15-'1. ASTRA Investeerimiskulud'!U28</f>
        <v>5</v>
      </c>
      <c r="C22" s="14">
        <f>'2. ASTRA Tegevustulud ja -kulud'!U23-'2. ASTRA Tegevustulud ja -kulud'!U40</f>
        <v>59.50000000000003</v>
      </c>
      <c r="D22" s="49">
        <f>'2. ASTRA Tegevustulud ja -kulud'!U12-'2. ASTRA Tegevustulud ja -kulud'!U34</f>
        <v>44.3</v>
      </c>
      <c r="E22" s="14">
        <f>'1. ASTRA Investeerimiskulud'!U14-'1. ASTRA Investeerimiskulud'!U27</f>
        <v>0</v>
      </c>
      <c r="F22" s="15">
        <f t="shared" si="0"/>
        <v>-20.20000000000003</v>
      </c>
      <c r="G22" s="32"/>
      <c r="H22" s="32"/>
      <c r="I22" s="32"/>
      <c r="J22" s="32"/>
      <c r="K22" s="32"/>
    </row>
    <row r="23" spans="1:11" s="8" customFormat="1" ht="15">
      <c r="A23" s="13">
        <v>2035</v>
      </c>
      <c r="B23" s="14">
        <f>'1. ASTRA Investeerimiskulud'!V15-'1. ASTRA Investeerimiskulud'!V28</f>
        <v>0</v>
      </c>
      <c r="C23" s="14">
        <f>'2. ASTRA Tegevustulud ja -kulud'!V23-'2. ASTRA Tegevustulud ja -kulud'!V40</f>
        <v>63.85000000000008</v>
      </c>
      <c r="D23" s="49">
        <f>'2. ASTRA Tegevustulud ja -kulud'!V12-'2. ASTRA Tegevustulud ja -kulud'!V34</f>
        <v>45.80000000000001</v>
      </c>
      <c r="E23" s="14">
        <f>'1. ASTRA Investeerimiskulud'!V14-'1. ASTRA Investeerimiskulud'!V27</f>
        <v>0</v>
      </c>
      <c r="F23" s="15">
        <f t="shared" si="0"/>
        <v>-18.050000000000068</v>
      </c>
      <c r="G23" s="32"/>
      <c r="H23" s="32"/>
      <c r="I23" s="32"/>
      <c r="J23" s="32"/>
      <c r="K23" s="32"/>
    </row>
    <row r="24" spans="1:11" s="8" customFormat="1" ht="15">
      <c r="A24" s="13">
        <v>2036</v>
      </c>
      <c r="B24" s="14">
        <f>'1. ASTRA Investeerimiskulud'!W15-'1. ASTRA Investeerimiskulud'!W28</f>
        <v>0</v>
      </c>
      <c r="C24" s="14">
        <f>'2. ASTRA Tegevustulud ja -kulud'!W23-'2. ASTRA Tegevustulud ja -kulud'!W40</f>
        <v>63.849999999999994</v>
      </c>
      <c r="D24" s="49">
        <f>'2. ASTRA Tegevustulud ja -kulud'!W12-'2. ASTRA Tegevustulud ja -kulud'!W34</f>
        <v>45.80000000000001</v>
      </c>
      <c r="E24" s="14">
        <f>'1. ASTRA Investeerimiskulud'!W14-'1. ASTRA Investeerimiskulud'!W27</f>
        <v>0</v>
      </c>
      <c r="F24" s="15">
        <f t="shared" si="0"/>
        <v>-18.049999999999983</v>
      </c>
      <c r="G24" s="32"/>
      <c r="H24" s="32"/>
      <c r="I24" s="32"/>
      <c r="J24" s="32"/>
      <c r="K24" s="32"/>
    </row>
    <row r="25" spans="1:11" s="8" customFormat="1" ht="15">
      <c r="A25" s="13">
        <v>2037</v>
      </c>
      <c r="B25" s="14">
        <f>'1. ASTRA Investeerimiskulud'!X15-'1. ASTRA Investeerimiskulud'!X28</f>
        <v>225</v>
      </c>
      <c r="C25" s="14">
        <f>'2. ASTRA Tegevustulud ja -kulud'!X23-'2. ASTRA Tegevustulud ja -kulud'!X40</f>
        <v>65.1</v>
      </c>
      <c r="D25" s="49">
        <f>'2. ASTRA Tegevustulud ja -kulud'!X12-'2. ASTRA Tegevustulud ja -kulud'!X34</f>
        <v>45.80000000000001</v>
      </c>
      <c r="E25" s="14">
        <f>'1. ASTRA Investeerimiskulud'!X14-'1. ASTRA Investeerimiskulud'!X27</f>
        <v>0</v>
      </c>
      <c r="F25" s="15">
        <f t="shared" si="0"/>
        <v>-244.29999999999998</v>
      </c>
      <c r="G25" s="32"/>
      <c r="H25" s="32"/>
      <c r="I25" s="32"/>
      <c r="J25" s="32"/>
      <c r="K25" s="32"/>
    </row>
    <row r="26" spans="1:11" s="8" customFormat="1" ht="15">
      <c r="A26" s="13">
        <v>2038</v>
      </c>
      <c r="B26" s="14">
        <f>'1. ASTRA Investeerimiskulud'!Y15-'1. ASTRA Investeerimiskulud'!Y28</f>
        <v>0</v>
      </c>
      <c r="C26" s="14">
        <f>'2. ASTRA Tegevustulud ja -kulud'!Y23-'2. ASTRA Tegevustulud ja -kulud'!Y40</f>
        <v>65.1</v>
      </c>
      <c r="D26" s="49">
        <f>'2. ASTRA Tegevustulud ja -kulud'!Y12-'2. ASTRA Tegevustulud ja -kulud'!Y34</f>
        <v>45.80000000000001</v>
      </c>
      <c r="E26" s="14">
        <f>'1. ASTRA Investeerimiskulud'!Y14-'1. ASTRA Investeerimiskulud'!Y27</f>
        <v>0</v>
      </c>
      <c r="F26" s="15">
        <f t="shared" si="0"/>
        <v>-19.299999999999983</v>
      </c>
      <c r="G26" s="32"/>
      <c r="H26" s="32"/>
      <c r="I26" s="32"/>
      <c r="J26" s="32"/>
      <c r="K26" s="32"/>
    </row>
    <row r="27" spans="1:11" s="8" customFormat="1" ht="15">
      <c r="A27" s="13">
        <v>2039</v>
      </c>
      <c r="B27" s="14">
        <f>'1. ASTRA Investeerimiskulud'!Z15-'1. ASTRA Investeerimiskulud'!Z28</f>
        <v>0</v>
      </c>
      <c r="C27" s="14">
        <f>'2. ASTRA Tegevustulud ja -kulud'!Z23-'2. ASTRA Tegevustulud ja -kulud'!Z40</f>
        <v>65.55000000000001</v>
      </c>
      <c r="D27" s="49">
        <f>'2. ASTRA Tegevustulud ja -kulud'!Z12-'2. ASTRA Tegevustulud ja -kulud'!Z34</f>
        <v>46.30000000000001</v>
      </c>
      <c r="E27" s="14">
        <f>'1. ASTRA Investeerimiskulud'!Z14-'1. ASTRA Investeerimiskulud'!Z27</f>
        <v>0</v>
      </c>
      <c r="F27" s="15">
        <f t="shared" si="0"/>
        <v>-19.25</v>
      </c>
      <c r="G27" s="32"/>
      <c r="H27" s="32"/>
      <c r="I27" s="32"/>
      <c r="J27" s="32"/>
      <c r="K27" s="32"/>
    </row>
    <row r="28" spans="1:11" s="8" customFormat="1" ht="15">
      <c r="A28" s="13">
        <v>2040</v>
      </c>
      <c r="B28" s="14">
        <f>'1. ASTRA Investeerimiskulud'!AA15-'1. ASTRA Investeerimiskulud'!AA28</f>
        <v>445</v>
      </c>
      <c r="C28" s="14">
        <f>'2. ASTRA Tegevustulud ja -kulud'!AA23-'2. ASTRA Tegevustulud ja -kulud'!AA40</f>
        <v>1138.0499999999993</v>
      </c>
      <c r="D28" s="14">
        <f>'2. ASTRA Tegevustulud ja -kulud'!AA12-'2. ASTRA Tegevustulud ja -kulud'!AA34</f>
        <v>1061.1000000000004</v>
      </c>
      <c r="E28" s="14">
        <f>'1. ASTRA Investeerimiskulud'!AA14-'1. ASTRA Investeerimiskulud'!AA27</f>
        <v>0</v>
      </c>
      <c r="F28" s="15">
        <f t="shared" si="0"/>
        <v>-521.9499999999989</v>
      </c>
      <c r="G28" s="32"/>
      <c r="H28" s="32"/>
      <c r="I28" s="32"/>
      <c r="J28" s="32"/>
      <c r="K28" s="32"/>
    </row>
    <row r="29" spans="1:11" ht="15">
      <c r="A29" s="17" t="s">
        <v>7</v>
      </c>
      <c r="B29" s="16">
        <f>SUM(B4:B28)</f>
        <v>2373.737</v>
      </c>
      <c r="C29" s="16">
        <f>SUM(C4:C28)</f>
        <v>2422.2999999999993</v>
      </c>
      <c r="D29" s="16">
        <f>SUM(D4:D28)</f>
        <v>1937.7</v>
      </c>
      <c r="E29" s="14">
        <f>SUM(E4:E28)</f>
        <v>0</v>
      </c>
      <c r="F29" s="16"/>
      <c r="G29" s="32"/>
      <c r="H29" s="32"/>
      <c r="I29" s="32"/>
      <c r="J29" s="32"/>
      <c r="K29" s="32"/>
    </row>
    <row r="30" spans="1:11" ht="15">
      <c r="A30" s="23" t="s">
        <v>71</v>
      </c>
      <c r="B30" s="132">
        <f>ROUND(IF(NPV($B$33,B4:B28)&lt;0,0,NPV($B$33,B4:B28)),0)</f>
        <v>1739</v>
      </c>
      <c r="C30" s="133">
        <f>ROUND(IF(NPV($B$33,C4:C28)&lt;0,0,NPV($B$33,C4:C28)),0)</f>
        <v>1198</v>
      </c>
      <c r="D30" s="134">
        <f>ROUND(IF(NPV($B$33,D4:D28)&lt;0,0,NPV($B$33,D4:D28)),0)</f>
        <v>906</v>
      </c>
      <c r="E30" s="135">
        <f>ROUND(IF(NPV($B$33,E4:E28)&lt;0,0,NPV($B$33,E4:E28)),0)</f>
        <v>0</v>
      </c>
      <c r="F30" s="136">
        <f>ROUND(NPV($B$33,F4:F28),2)</f>
        <v>-2030.44</v>
      </c>
      <c r="G30" s="32"/>
      <c r="H30" s="32"/>
      <c r="I30" s="32"/>
      <c r="J30" s="32"/>
      <c r="K30" s="32"/>
    </row>
    <row r="31" spans="1:11" ht="15">
      <c r="A31" s="24" t="s">
        <v>67</v>
      </c>
      <c r="B31" s="132"/>
      <c r="C31" s="133"/>
      <c r="D31" s="134"/>
      <c r="E31" s="135"/>
      <c r="F31" s="136"/>
      <c r="G31" s="32"/>
      <c r="H31" s="32"/>
      <c r="I31" s="32"/>
      <c r="J31" s="32"/>
      <c r="K31" s="32"/>
    </row>
    <row r="32" spans="1:11" ht="15">
      <c r="A32" s="32"/>
      <c r="B32" s="32"/>
      <c r="C32" s="34"/>
      <c r="D32" s="32"/>
      <c r="E32" s="32"/>
      <c r="F32" s="32"/>
      <c r="G32" s="32"/>
      <c r="H32" s="32"/>
      <c r="I32" s="32"/>
      <c r="J32" s="32"/>
      <c r="K32" s="32"/>
    </row>
    <row r="33" spans="1:11" ht="15">
      <c r="A33" s="33" t="s">
        <v>24</v>
      </c>
      <c r="B33" s="4">
        <v>0.04</v>
      </c>
      <c r="D33" s="25" t="s">
        <v>68</v>
      </c>
      <c r="E33" s="35" t="s">
        <v>70</v>
      </c>
      <c r="F33" s="7"/>
      <c r="G33" s="32"/>
      <c r="H33" s="32"/>
      <c r="I33" s="32"/>
      <c r="J33" s="32"/>
      <c r="K33" s="32"/>
    </row>
    <row r="34" spans="1:11" ht="15">
      <c r="A34" s="129"/>
      <c r="B34" s="129" t="s">
        <v>25</v>
      </c>
      <c r="C34" s="129" t="s">
        <v>26</v>
      </c>
      <c r="D34" s="32"/>
      <c r="E34" s="32"/>
      <c r="F34" s="32"/>
      <c r="G34" s="32"/>
      <c r="H34" s="32"/>
      <c r="I34" s="32"/>
      <c r="J34" s="32"/>
      <c r="K34" s="32"/>
    </row>
    <row r="35" spans="1:11" ht="16.5" customHeight="1">
      <c r="A35" s="129"/>
      <c r="B35" s="129"/>
      <c r="C35" s="129"/>
      <c r="D35" s="32"/>
      <c r="E35" s="32"/>
      <c r="F35" s="32"/>
      <c r="G35" s="32"/>
      <c r="H35" s="32"/>
      <c r="I35" s="32"/>
      <c r="J35" s="32"/>
      <c r="K35" s="32"/>
    </row>
    <row r="36" spans="1:11" ht="15">
      <c r="A36" s="13" t="s">
        <v>27</v>
      </c>
      <c r="B36" s="13"/>
      <c r="C36" s="19">
        <f>B29</f>
        <v>2373.737</v>
      </c>
      <c r="D36" s="32"/>
      <c r="E36" s="32"/>
      <c r="F36" s="32"/>
      <c r="G36" s="32"/>
      <c r="H36" s="32"/>
      <c r="I36" s="32"/>
      <c r="J36" s="32"/>
      <c r="K36" s="32"/>
    </row>
    <row r="37" spans="1:11" ht="30">
      <c r="A37" s="13" t="s">
        <v>28</v>
      </c>
      <c r="B37" s="13"/>
      <c r="C37" s="20">
        <f>'1. ASTRA Investeerimiskulud'!B10</f>
        <v>1547.737</v>
      </c>
      <c r="D37" s="32"/>
      <c r="E37" s="36"/>
      <c r="F37" s="32"/>
      <c r="G37" s="32"/>
      <c r="H37" s="32"/>
      <c r="I37" s="32"/>
      <c r="J37" s="32"/>
      <c r="K37" s="32"/>
    </row>
    <row r="38" spans="1:11" ht="15">
      <c r="A38" s="13" t="s">
        <v>29</v>
      </c>
      <c r="B38" s="13"/>
      <c r="C38" s="21">
        <v>0.95</v>
      </c>
      <c r="D38" s="32"/>
      <c r="E38" s="32"/>
      <c r="F38" s="32"/>
      <c r="G38" s="32"/>
      <c r="H38" s="32"/>
      <c r="I38" s="32"/>
      <c r="J38" s="32"/>
      <c r="K38" s="32"/>
    </row>
    <row r="39" spans="1:11" ht="30">
      <c r="A39" s="13" t="s">
        <v>30</v>
      </c>
      <c r="B39" s="16">
        <f>B30</f>
        <v>1739</v>
      </c>
      <c r="C39" s="13"/>
      <c r="D39" s="32"/>
      <c r="E39" s="32"/>
      <c r="F39" s="32"/>
      <c r="G39" s="32"/>
      <c r="H39" s="32"/>
      <c r="I39" s="32"/>
      <c r="J39" s="32"/>
      <c r="K39" s="32"/>
    </row>
    <row r="40" spans="1:11" ht="15">
      <c r="A40" s="13" t="s">
        <v>31</v>
      </c>
      <c r="B40" s="15">
        <f>D30+E30-C30</f>
        <v>-292</v>
      </c>
      <c r="C40" s="13"/>
      <c r="D40" s="32"/>
      <c r="E40" s="32"/>
      <c r="F40" s="32"/>
      <c r="G40" s="32"/>
      <c r="H40" s="32"/>
      <c r="I40" s="32"/>
      <c r="J40" s="32"/>
      <c r="K40" s="32"/>
    </row>
    <row r="41" spans="1:11" ht="9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5">
      <c r="A42" s="32" t="s">
        <v>32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 t="s">
        <v>33</v>
      </c>
      <c r="B43" s="37">
        <f>B39-B40</f>
        <v>2031</v>
      </c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">
      <c r="A44" s="32" t="s">
        <v>34</v>
      </c>
      <c r="B44" s="38">
        <f>B43/B39</f>
        <v>1.1679125934445083</v>
      </c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5">
      <c r="A45" s="32" t="s">
        <v>35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5">
      <c r="A46" s="32" t="s">
        <v>36</v>
      </c>
      <c r="B46" s="39">
        <f>C37*B44</f>
        <v>1807.621533640023</v>
      </c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5">
      <c r="A47" s="32" t="s">
        <v>37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5">
      <c r="A48" s="32" t="s">
        <v>38</v>
      </c>
      <c r="B48" s="5">
        <f>B46*C38</f>
        <v>1717.2404569580217</v>
      </c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9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">
      <c r="A53" s="46"/>
      <c r="B53" s="46"/>
      <c r="C53" s="46"/>
      <c r="D53" s="46"/>
      <c r="E53" s="46"/>
      <c r="F53" s="44"/>
      <c r="G53" s="44"/>
      <c r="H53" s="44"/>
      <c r="I53" s="44"/>
      <c r="J53" s="44"/>
      <c r="K53" s="44"/>
      <c r="L53" s="44"/>
      <c r="M53" s="44"/>
    </row>
    <row r="54" spans="1:13" ht="15">
      <c r="A54" s="46"/>
      <c r="B54" s="46"/>
      <c r="C54" s="46"/>
      <c r="D54" s="46"/>
      <c r="E54" s="46"/>
      <c r="F54" s="44"/>
      <c r="G54" s="44"/>
      <c r="H54" s="44"/>
      <c r="I54" s="44"/>
      <c r="J54" s="44"/>
      <c r="K54" s="44"/>
      <c r="L54" s="44"/>
      <c r="M54" s="44"/>
    </row>
    <row r="55" spans="1:5" ht="15">
      <c r="A55" s="29" t="s">
        <v>20</v>
      </c>
      <c r="B55" s="32"/>
      <c r="C55" s="32"/>
      <c r="D55" s="32"/>
      <c r="E55" s="32"/>
    </row>
    <row r="56" spans="1:5" ht="15">
      <c r="A56" s="29" t="s">
        <v>19</v>
      </c>
      <c r="B56" s="32"/>
      <c r="C56" s="32"/>
      <c r="D56" s="32"/>
      <c r="E56" s="32"/>
    </row>
    <row r="57" spans="1:5" ht="15">
      <c r="A57" s="32" t="s">
        <v>39</v>
      </c>
      <c r="B57" s="32"/>
      <c r="C57" s="32"/>
      <c r="D57" s="32"/>
      <c r="E57" s="32"/>
    </row>
    <row r="58" spans="1:5" ht="15">
      <c r="A58" s="29" t="s">
        <v>43</v>
      </c>
      <c r="B58" s="29"/>
      <c r="C58" s="29"/>
      <c r="D58" s="29"/>
      <c r="E58" s="29"/>
    </row>
    <row r="59" spans="1:5" ht="15">
      <c r="A59" s="29" t="s">
        <v>18</v>
      </c>
      <c r="B59" s="29"/>
      <c r="C59" s="29"/>
      <c r="D59" s="29"/>
      <c r="E59" s="29"/>
    </row>
  </sheetData>
  <sheetProtection/>
  <mergeCells count="9">
    <mergeCell ref="A34:A35"/>
    <mergeCell ref="B34:B35"/>
    <mergeCell ref="C34:C35"/>
    <mergeCell ref="A2:F2"/>
    <mergeCell ref="B30:B31"/>
    <mergeCell ref="C30:C31"/>
    <mergeCell ref="D30:D31"/>
    <mergeCell ref="E30:E31"/>
    <mergeCell ref="F30:F3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V21" sqref="V21"/>
    </sheetView>
  </sheetViews>
  <sheetFormatPr defaultColWidth="8.8515625" defaultRowHeight="15"/>
  <cols>
    <col min="1" max="1" width="25.421875" style="0" customWidth="1"/>
    <col min="2" max="2" width="12.00390625" style="0" customWidth="1"/>
    <col min="3" max="3" width="5.140625" style="0" customWidth="1"/>
    <col min="4" max="5" width="7.140625" style="0" customWidth="1"/>
    <col min="6" max="6" width="6.8515625" style="0" customWidth="1"/>
    <col min="7" max="7" width="6.57421875" style="0" customWidth="1"/>
    <col min="8" max="8" width="6.140625" style="0" customWidth="1"/>
    <col min="9" max="9" width="7.140625" style="0" customWidth="1"/>
    <col min="10" max="27" width="5.140625" style="0" customWidth="1"/>
    <col min="28" max="31" width="5.57421875" style="0" customWidth="1"/>
  </cols>
  <sheetData>
    <row r="1" spans="1:27" s="10" customFormat="1" ht="18.75">
      <c r="A1" s="28" t="s">
        <v>42</v>
      </c>
      <c r="B1" s="28"/>
      <c r="C1" s="28"/>
      <c r="D1" s="41"/>
      <c r="E1" s="41"/>
      <c r="F1" s="41"/>
      <c r="G1" s="41"/>
      <c r="H1" s="41"/>
      <c r="I1" s="4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15">
      <c r="A2" s="29"/>
      <c r="B2" s="29"/>
      <c r="C2" s="29"/>
      <c r="D2" s="41"/>
      <c r="E2" s="41"/>
      <c r="F2" s="41"/>
      <c r="G2" s="41"/>
      <c r="H2" s="41"/>
      <c r="I2" s="41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5">
      <c r="A3" s="30" t="s">
        <v>41</v>
      </c>
      <c r="B3" s="53"/>
      <c r="C3" s="53"/>
      <c r="D3" s="54"/>
      <c r="E3" s="53"/>
      <c r="F3" s="53"/>
      <c r="G3" s="53"/>
      <c r="H3" s="53"/>
      <c r="I3" s="5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5">
      <c r="A4" s="53"/>
      <c r="B4" s="53"/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3">
        <v>11</v>
      </c>
      <c r="N4" s="53">
        <v>12</v>
      </c>
      <c r="O4" s="53">
        <v>13</v>
      </c>
      <c r="P4" s="53">
        <v>14</v>
      </c>
      <c r="Q4" s="53">
        <v>15</v>
      </c>
      <c r="R4" s="53">
        <v>16</v>
      </c>
      <c r="S4" s="53">
        <v>17</v>
      </c>
      <c r="T4" s="53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</row>
    <row r="5" spans="1:27" ht="15">
      <c r="A5" s="120" t="s">
        <v>42</v>
      </c>
      <c r="B5" s="122" t="s">
        <v>7</v>
      </c>
      <c r="C5" s="109" t="s">
        <v>8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11"/>
      <c r="Y5" s="111"/>
      <c r="Z5" s="111"/>
      <c r="AA5" s="111"/>
    </row>
    <row r="6" spans="1:27" ht="15.75" thickBot="1">
      <c r="A6" s="121"/>
      <c r="B6" s="121"/>
      <c r="C6" s="55">
        <v>2016</v>
      </c>
      <c r="D6" s="56">
        <v>2017</v>
      </c>
      <c r="E6" s="56">
        <v>2018</v>
      </c>
      <c r="F6" s="56">
        <v>2019</v>
      </c>
      <c r="G6" s="56">
        <v>2020</v>
      </c>
      <c r="H6" s="56">
        <v>2021</v>
      </c>
      <c r="I6" s="56">
        <v>2022</v>
      </c>
      <c r="J6" s="56">
        <v>2023</v>
      </c>
      <c r="K6" s="56">
        <v>2024</v>
      </c>
      <c r="L6" s="56">
        <v>2025</v>
      </c>
      <c r="M6" s="56">
        <v>2026</v>
      </c>
      <c r="N6" s="56">
        <v>2027</v>
      </c>
      <c r="O6" s="56">
        <v>2028</v>
      </c>
      <c r="P6" s="56">
        <v>2029</v>
      </c>
      <c r="Q6" s="56">
        <v>2030</v>
      </c>
      <c r="R6" s="56">
        <v>2031</v>
      </c>
      <c r="S6" s="56">
        <v>2032</v>
      </c>
      <c r="T6" s="56">
        <v>2033</v>
      </c>
      <c r="U6" s="56">
        <v>2034</v>
      </c>
      <c r="V6" s="56">
        <v>2035</v>
      </c>
      <c r="W6" s="56">
        <v>2036</v>
      </c>
      <c r="X6" s="56">
        <v>2037</v>
      </c>
      <c r="Y6" s="56">
        <v>2038</v>
      </c>
      <c r="Z6" s="56">
        <v>2039</v>
      </c>
      <c r="AA6" s="56">
        <v>2040</v>
      </c>
    </row>
    <row r="7" spans="1:27" ht="15">
      <c r="A7" s="65" t="s">
        <v>63</v>
      </c>
      <c r="B7" s="45">
        <f>SUM(C7:I7)</f>
        <v>1470.3501500000002</v>
      </c>
      <c r="C7" s="112">
        <f>'1. ASTRA Investeerimiskulud'!C10*0.95</f>
        <v>4.75</v>
      </c>
      <c r="D7" s="98">
        <f>'1. ASTRA Investeerimiskulud'!D10*0.95</f>
        <v>864.0003</v>
      </c>
      <c r="E7" s="98">
        <f>'1. ASTRA Investeerimiskulud'!E10*0.95</f>
        <v>171</v>
      </c>
      <c r="F7" s="98">
        <f>'1. ASTRA Investeerimiskulud'!F10*0.95</f>
        <v>237.5</v>
      </c>
      <c r="G7" s="98">
        <f>'1. ASTRA Investeerimiskulud'!G10*0.95</f>
        <v>76</v>
      </c>
      <c r="H7" s="98">
        <f>'1. ASTRA Investeerimiskulud'!H10*0.95</f>
        <v>61.75</v>
      </c>
      <c r="I7" s="113">
        <f>'1. ASTRA Investeerimiskulud'!I10*0.95</f>
        <v>55.349849999999996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53"/>
      <c r="X7" s="53"/>
      <c r="Y7" s="53"/>
      <c r="Z7" s="53"/>
      <c r="AA7" s="53"/>
    </row>
    <row r="8" spans="1:27" ht="15">
      <c r="A8" s="65" t="s">
        <v>64</v>
      </c>
      <c r="B8" s="45">
        <f>SUM(C8:I8)</f>
        <v>77.38685000000001</v>
      </c>
      <c r="C8" s="114">
        <f>'1. ASTRA Investeerimiskulud'!C10*0.05</f>
        <v>0.25</v>
      </c>
      <c r="D8" s="98">
        <f>'1. ASTRA Investeerimiskulud'!D10*0.05</f>
        <v>45.47370000000001</v>
      </c>
      <c r="E8" s="98">
        <f>'1. ASTRA Investeerimiskulud'!E10*0.05</f>
        <v>9</v>
      </c>
      <c r="F8" s="98">
        <f>'1. ASTRA Investeerimiskulud'!F10*0.05</f>
        <v>12.5</v>
      </c>
      <c r="G8" s="98">
        <f>'1. ASTRA Investeerimiskulud'!G10*0.05</f>
        <v>4</v>
      </c>
      <c r="H8" s="98">
        <f>'1. ASTRA Investeerimiskulud'!H10*0.05</f>
        <v>3.25</v>
      </c>
      <c r="I8" s="98">
        <f>'1. ASTRA Investeerimiskulud'!I10*0.05</f>
        <v>2.91315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53"/>
      <c r="X8" s="53"/>
      <c r="Y8" s="53"/>
      <c r="Z8" s="53"/>
      <c r="AA8" s="53"/>
    </row>
    <row r="9" spans="1:27" ht="15.75" thickBot="1">
      <c r="A9" s="80" t="s">
        <v>65</v>
      </c>
      <c r="B9" s="115">
        <f aca="true" t="shared" si="0" ref="B9:AA9">SUM(B7:B8)</f>
        <v>1547.7370000000003</v>
      </c>
      <c r="C9" s="116">
        <f t="shared" si="0"/>
        <v>5</v>
      </c>
      <c r="D9" s="83">
        <f t="shared" si="0"/>
        <v>909.474</v>
      </c>
      <c r="E9" s="83">
        <f t="shared" si="0"/>
        <v>180</v>
      </c>
      <c r="F9" s="83">
        <f t="shared" si="0"/>
        <v>250</v>
      </c>
      <c r="G9" s="83">
        <f t="shared" si="0"/>
        <v>80</v>
      </c>
      <c r="H9" s="83">
        <f t="shared" si="0"/>
        <v>65</v>
      </c>
      <c r="I9" s="83">
        <f t="shared" si="0"/>
        <v>58.263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0</v>
      </c>
      <c r="Q9" s="83">
        <f t="shared" si="0"/>
        <v>0</v>
      </c>
      <c r="R9" s="83">
        <f t="shared" si="0"/>
        <v>0</v>
      </c>
      <c r="S9" s="83">
        <f t="shared" si="0"/>
        <v>0</v>
      </c>
      <c r="T9" s="83">
        <f t="shared" si="0"/>
        <v>0</v>
      </c>
      <c r="U9" s="83">
        <f t="shared" si="0"/>
        <v>0</v>
      </c>
      <c r="V9" s="83">
        <f t="shared" si="0"/>
        <v>0</v>
      </c>
      <c r="W9" s="83">
        <f t="shared" si="0"/>
        <v>0</v>
      </c>
      <c r="X9" s="83">
        <f t="shared" si="0"/>
        <v>0</v>
      </c>
      <c r="Y9" s="83">
        <f t="shared" si="0"/>
        <v>0</v>
      </c>
      <c r="Z9" s="83">
        <f t="shared" si="0"/>
        <v>0</v>
      </c>
      <c r="AA9" s="83">
        <f t="shared" si="0"/>
        <v>0</v>
      </c>
    </row>
    <row r="10" spans="1:27" ht="15.75" thickTop="1">
      <c r="A10" s="29"/>
      <c r="B10" s="29"/>
      <c r="C10" s="29"/>
      <c r="D10" s="31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8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11" ht="15">
      <c r="A18" s="29" t="s">
        <v>20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">
      <c r="A19" s="29" t="s">
        <v>19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">
      <c r="A20" s="29" t="s">
        <v>17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">
      <c r="A22" s="29" t="s">
        <v>40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">
      <c r="A23" s="29" t="s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2">
    <mergeCell ref="A5:A6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zoomScalePageLayoutView="0" workbookViewId="0" topLeftCell="A1">
      <selection activeCell="P18" sqref="P18"/>
    </sheetView>
  </sheetViews>
  <sheetFormatPr defaultColWidth="9.140625" defaultRowHeight="15"/>
  <cols>
    <col min="1" max="1" width="38.57421875" style="8" customWidth="1"/>
    <col min="2" max="6" width="18.421875" style="8" customWidth="1"/>
    <col min="7" max="7" width="4.421875" style="8" customWidth="1"/>
    <col min="8" max="28" width="4.00390625" style="8" customWidth="1"/>
    <col min="29" max="16384" width="9.140625" style="8" customWidth="1"/>
  </cols>
  <sheetData>
    <row r="1" spans="1:11" s="10" customFormat="1" ht="18.75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130" t="s">
        <v>90</v>
      </c>
      <c r="B2" s="131"/>
      <c r="C2" s="131"/>
      <c r="D2" s="131"/>
      <c r="E2" s="131"/>
      <c r="F2" s="131"/>
      <c r="G2" s="32"/>
      <c r="H2" s="32"/>
      <c r="I2" s="32"/>
      <c r="J2" s="32"/>
      <c r="K2" s="32"/>
    </row>
    <row r="3" spans="1:11" ht="78" customHeight="1">
      <c r="A3" s="12" t="s">
        <v>8</v>
      </c>
      <c r="B3" s="22" t="s">
        <v>66</v>
      </c>
      <c r="C3" s="22" t="s">
        <v>89</v>
      </c>
      <c r="D3" s="22" t="s">
        <v>85</v>
      </c>
      <c r="E3" s="22" t="s">
        <v>86</v>
      </c>
      <c r="F3" s="22" t="s">
        <v>87</v>
      </c>
      <c r="G3" s="32"/>
      <c r="H3" s="32"/>
      <c r="I3" s="32"/>
      <c r="J3" s="32"/>
      <c r="K3" s="32"/>
    </row>
    <row r="4" spans="1:11" ht="15">
      <c r="A4" s="13">
        <v>2016</v>
      </c>
      <c r="B4" s="14">
        <f>'4. ASTRA Rahastamisallikad'!C7</f>
        <v>4.75</v>
      </c>
      <c r="C4" s="14">
        <f>'4. ASTRA Rahastamisallikad'!C8</f>
        <v>0.25</v>
      </c>
      <c r="D4" s="27">
        <f>'2. ASTRA Tegevustulud ja -kulud'!C12-'2. ASTRA Tegevustulud ja -kulud'!C34</f>
        <v>0</v>
      </c>
      <c r="E4" s="27">
        <f>'1. ASTRA Investeerimiskulud'!C14-'1. ASTRA Investeerimiskulud'!C27</f>
        <v>0</v>
      </c>
      <c r="F4" s="15">
        <f>E4+D4+-C4-B4</f>
        <v>-5</v>
      </c>
      <c r="G4" s="32"/>
      <c r="H4" s="40"/>
      <c r="I4" s="32"/>
      <c r="J4" s="32"/>
      <c r="K4" s="32"/>
    </row>
    <row r="5" spans="1:11" ht="15">
      <c r="A5" s="13">
        <v>2017</v>
      </c>
      <c r="B5" s="14">
        <f>'4. ASTRA Rahastamisallikad'!D7</f>
        <v>864.0003</v>
      </c>
      <c r="C5" s="14">
        <f>'4. ASTRA Rahastamisallikad'!D8</f>
        <v>45.47370000000001</v>
      </c>
      <c r="D5" s="27">
        <f>'2. ASTRA Tegevustulud ja -kulud'!D12-'2. ASTRA Tegevustulud ja -kulud'!D34</f>
        <v>0</v>
      </c>
      <c r="E5" s="27">
        <f>'1. ASTRA Investeerimiskulud'!D14-'1. ASTRA Investeerimiskulud'!D27</f>
        <v>0</v>
      </c>
      <c r="F5" s="15">
        <f aca="true" t="shared" si="0" ref="F5:F28">E5+D5+-C5-B5</f>
        <v>-909.474</v>
      </c>
      <c r="G5" s="32"/>
      <c r="H5" s="40"/>
      <c r="I5" s="32"/>
      <c r="J5" s="32"/>
      <c r="K5" s="32"/>
    </row>
    <row r="6" spans="1:11" ht="15">
      <c r="A6" s="13">
        <v>2018</v>
      </c>
      <c r="B6" s="14">
        <f>'4. ASTRA Rahastamisallikad'!E7</f>
        <v>171</v>
      </c>
      <c r="C6" s="14">
        <f>'4. ASTRA Rahastamisallikad'!E8</f>
        <v>9</v>
      </c>
      <c r="D6" s="50">
        <f>'2. ASTRA Tegevustulud ja -kulud'!E12-'2. ASTRA Tegevustulud ja -kulud'!E34</f>
        <v>20.299999999999997</v>
      </c>
      <c r="E6" s="27">
        <f>'1. ASTRA Investeerimiskulud'!E14-'1. ASTRA Investeerimiskulud'!E27</f>
        <v>0</v>
      </c>
      <c r="F6" s="14">
        <f t="shared" si="0"/>
        <v>-159.7</v>
      </c>
      <c r="G6" s="32"/>
      <c r="H6" s="32"/>
      <c r="I6" s="32"/>
      <c r="J6" s="32"/>
      <c r="K6" s="32"/>
    </row>
    <row r="7" spans="1:11" ht="15">
      <c r="A7" s="13">
        <v>2019</v>
      </c>
      <c r="B7" s="14">
        <f>'4. ASTRA Rahastamisallikad'!F7</f>
        <v>237.5</v>
      </c>
      <c r="C7" s="14">
        <f>'4. ASTRA Rahastamisallikad'!F8</f>
        <v>12.5</v>
      </c>
      <c r="D7" s="50">
        <f>'2. ASTRA Tegevustulud ja -kulud'!F12-'2. ASTRA Tegevustulud ja -kulud'!F34</f>
        <v>20.299999999999997</v>
      </c>
      <c r="E7" s="27">
        <f>'1. ASTRA Investeerimiskulud'!F14-'1. ASTRA Investeerimiskulud'!F27</f>
        <v>0</v>
      </c>
      <c r="F7" s="15">
        <f t="shared" si="0"/>
        <v>-229.7</v>
      </c>
      <c r="G7" s="32"/>
      <c r="H7" s="32"/>
      <c r="I7" s="32"/>
      <c r="J7" s="32"/>
      <c r="K7" s="32"/>
    </row>
    <row r="8" spans="1:11" ht="15">
      <c r="A8" s="13">
        <v>2020</v>
      </c>
      <c r="B8" s="14">
        <f>'4. ASTRA Rahastamisallikad'!G7</f>
        <v>76</v>
      </c>
      <c r="C8" s="14">
        <f>'4. ASTRA Rahastamisallikad'!G8</f>
        <v>4</v>
      </c>
      <c r="D8" s="50">
        <f>'2. ASTRA Tegevustulud ja -kulud'!G12-'2. ASTRA Tegevustulud ja -kulud'!G34</f>
        <v>20.299999999999997</v>
      </c>
      <c r="E8" s="27">
        <f>'1. ASTRA Investeerimiskulud'!G14-'1. ASTRA Investeerimiskulud'!G27</f>
        <v>0</v>
      </c>
      <c r="F8" s="15">
        <f t="shared" si="0"/>
        <v>-59.7</v>
      </c>
      <c r="G8" s="32"/>
      <c r="H8" s="32"/>
      <c r="I8" s="32"/>
      <c r="J8" s="32"/>
      <c r="K8" s="32"/>
    </row>
    <row r="9" spans="1:11" ht="15">
      <c r="A9" s="13">
        <v>2021</v>
      </c>
      <c r="B9" s="14">
        <f>'4. ASTRA Rahastamisallikad'!H7</f>
        <v>61.75</v>
      </c>
      <c r="C9" s="14">
        <f>'4. ASTRA Rahastamisallikad'!H8</f>
        <v>3.25</v>
      </c>
      <c r="D9" s="50">
        <f>'2. ASTRA Tegevustulud ja -kulud'!H12-'2. ASTRA Tegevustulud ja -kulud'!H34</f>
        <v>20.299999999999997</v>
      </c>
      <c r="E9" s="27">
        <f>'1. ASTRA Investeerimiskulud'!H14-'1. ASTRA Investeerimiskulud'!H27</f>
        <v>0</v>
      </c>
      <c r="F9" s="15">
        <f t="shared" si="0"/>
        <v>-44.7</v>
      </c>
      <c r="G9" s="32"/>
      <c r="H9" s="32"/>
      <c r="I9" s="32"/>
      <c r="J9" s="32"/>
      <c r="K9" s="32"/>
    </row>
    <row r="10" spans="1:11" ht="15">
      <c r="A10" s="13">
        <v>2022</v>
      </c>
      <c r="B10" s="14">
        <f>'4. ASTRA Rahastamisallikad'!I7</f>
        <v>55.349849999999996</v>
      </c>
      <c r="C10" s="14">
        <f>'4. ASTRA Rahastamisallikad'!I8</f>
        <v>2.91315</v>
      </c>
      <c r="D10" s="50">
        <f>'2. ASTRA Tegevustulud ja -kulud'!I12-'2. ASTRA Tegevustulud ja -kulud'!I34</f>
        <v>40.30000000000001</v>
      </c>
      <c r="E10" s="27">
        <f>'1. ASTRA Investeerimiskulud'!I14-'1. ASTRA Investeerimiskulud'!I27</f>
        <v>0</v>
      </c>
      <c r="F10" s="15">
        <f t="shared" si="0"/>
        <v>-17.962999999999987</v>
      </c>
      <c r="G10" s="32"/>
      <c r="H10" s="32"/>
      <c r="I10" s="32"/>
      <c r="J10" s="32"/>
      <c r="K10" s="32"/>
    </row>
    <row r="11" spans="1:11" ht="15">
      <c r="A11" s="13">
        <v>2023</v>
      </c>
      <c r="B11" s="14"/>
      <c r="C11" s="14"/>
      <c r="D11" s="50">
        <f>'2. ASTRA Tegevustulud ja -kulud'!J12-'2. ASTRA Tegevustulud ja -kulud'!J34</f>
        <v>43.30000000000001</v>
      </c>
      <c r="E11" s="27">
        <f>'1. ASTRA Investeerimiskulud'!J14-'1. ASTRA Investeerimiskulud'!J27</f>
        <v>0</v>
      </c>
      <c r="F11" s="15">
        <f t="shared" si="0"/>
        <v>43.30000000000001</v>
      </c>
      <c r="G11" s="32"/>
      <c r="H11" s="32"/>
      <c r="I11" s="32"/>
      <c r="J11" s="32"/>
      <c r="K11" s="32"/>
    </row>
    <row r="12" spans="1:11" ht="15">
      <c r="A12" s="13">
        <v>2024</v>
      </c>
      <c r="B12" s="14"/>
      <c r="C12" s="14"/>
      <c r="D12" s="50">
        <f>'2. ASTRA Tegevustulud ja -kulud'!K12-'2. ASTRA Tegevustulud ja -kulud'!K34</f>
        <v>43.30000000000001</v>
      </c>
      <c r="E12" s="27">
        <f>'1. ASTRA Investeerimiskulud'!K14-'1. ASTRA Investeerimiskulud'!K27</f>
        <v>0</v>
      </c>
      <c r="F12" s="15">
        <f t="shared" si="0"/>
        <v>43.30000000000001</v>
      </c>
      <c r="G12" s="32"/>
      <c r="H12" s="32"/>
      <c r="I12" s="32"/>
      <c r="J12" s="32"/>
      <c r="K12" s="32"/>
    </row>
    <row r="13" spans="1:11" ht="15">
      <c r="A13" s="13">
        <v>2025</v>
      </c>
      <c r="B13" s="14"/>
      <c r="C13" s="14"/>
      <c r="D13" s="50">
        <f>'2. ASTRA Tegevustulud ja -kulud'!L12-'2. ASTRA Tegevustulud ja -kulud'!L34</f>
        <v>43.30000000000001</v>
      </c>
      <c r="E13" s="27">
        <f>'1. ASTRA Investeerimiskulud'!L14-'1. ASTRA Investeerimiskulud'!L27</f>
        <v>0</v>
      </c>
      <c r="F13" s="15">
        <f t="shared" si="0"/>
        <v>43.30000000000001</v>
      </c>
      <c r="G13" s="32"/>
      <c r="H13" s="32"/>
      <c r="I13" s="32"/>
      <c r="J13" s="32"/>
      <c r="K13" s="32"/>
    </row>
    <row r="14" spans="1:11" ht="15">
      <c r="A14" s="13">
        <v>2026</v>
      </c>
      <c r="B14" s="14"/>
      <c r="C14" s="14"/>
      <c r="D14" s="50">
        <f>'2. ASTRA Tegevustulud ja -kulud'!M12-'2. ASTRA Tegevustulud ja -kulud'!M34</f>
        <v>43.30000000000001</v>
      </c>
      <c r="E14" s="27">
        <f>'1. ASTRA Investeerimiskulud'!M14-'1. ASTRA Investeerimiskulud'!M27</f>
        <v>0</v>
      </c>
      <c r="F14" s="15">
        <f t="shared" si="0"/>
        <v>43.30000000000001</v>
      </c>
      <c r="G14" s="32"/>
      <c r="H14" s="32"/>
      <c r="I14" s="32"/>
      <c r="J14" s="32"/>
      <c r="K14" s="32"/>
    </row>
    <row r="15" spans="1:11" ht="15">
      <c r="A15" s="13">
        <v>2027</v>
      </c>
      <c r="B15" s="14"/>
      <c r="C15" s="14"/>
      <c r="D15" s="50">
        <f>'2. ASTRA Tegevustulud ja -kulud'!N12-'2. ASTRA Tegevustulud ja -kulud'!N34</f>
        <v>43.80000000000001</v>
      </c>
      <c r="E15" s="27">
        <f>'1. ASTRA Investeerimiskulud'!N14-'1. ASTRA Investeerimiskulud'!N27</f>
        <v>0</v>
      </c>
      <c r="F15" s="15">
        <f t="shared" si="0"/>
        <v>43.80000000000001</v>
      </c>
      <c r="G15" s="32"/>
      <c r="H15" s="32"/>
      <c r="I15" s="32"/>
      <c r="J15" s="32"/>
      <c r="K15" s="32"/>
    </row>
    <row r="16" spans="1:11" ht="15">
      <c r="A16" s="13">
        <v>2028</v>
      </c>
      <c r="B16" s="14"/>
      <c r="C16" s="14"/>
      <c r="D16" s="50">
        <f>'2. ASTRA Tegevustulud ja -kulud'!O12-'2. ASTRA Tegevustulud ja -kulud'!O34</f>
        <v>43.80000000000001</v>
      </c>
      <c r="E16" s="27">
        <f>'1. ASTRA Investeerimiskulud'!O14-'1. ASTRA Investeerimiskulud'!O27</f>
        <v>0</v>
      </c>
      <c r="F16" s="15">
        <f t="shared" si="0"/>
        <v>43.80000000000001</v>
      </c>
      <c r="G16" s="32"/>
      <c r="H16" s="32"/>
      <c r="I16" s="32"/>
      <c r="J16" s="32"/>
      <c r="K16" s="32"/>
    </row>
    <row r="17" spans="1:11" ht="15">
      <c r="A17" s="13">
        <v>2029</v>
      </c>
      <c r="B17" s="14"/>
      <c r="C17" s="14"/>
      <c r="D17" s="50">
        <f>'2. ASTRA Tegevustulud ja -kulud'!P12-'2. ASTRA Tegevustulud ja -kulud'!P34</f>
        <v>43.80000000000001</v>
      </c>
      <c r="E17" s="27">
        <f>'1. ASTRA Investeerimiskulud'!P14-'1. ASTRA Investeerimiskulud'!P27</f>
        <v>0</v>
      </c>
      <c r="F17" s="15">
        <f t="shared" si="0"/>
        <v>43.80000000000001</v>
      </c>
      <c r="G17" s="32"/>
      <c r="H17" s="32"/>
      <c r="I17" s="32"/>
      <c r="J17" s="32"/>
      <c r="K17" s="32"/>
    </row>
    <row r="18" spans="1:11" ht="15">
      <c r="A18" s="13">
        <v>2030</v>
      </c>
      <c r="B18" s="14"/>
      <c r="C18" s="14"/>
      <c r="D18" s="50">
        <f>'2. ASTRA Tegevustulud ja -kulud'!Q12-'2. ASTRA Tegevustulud ja -kulud'!Q34</f>
        <v>43.80000000000001</v>
      </c>
      <c r="E18" s="27">
        <f>'1. ASTRA Investeerimiskulud'!Q14-'1. ASTRA Investeerimiskulud'!Q27</f>
        <v>0</v>
      </c>
      <c r="F18" s="15">
        <f t="shared" si="0"/>
        <v>43.80000000000001</v>
      </c>
      <c r="G18" s="32"/>
      <c r="H18" s="32"/>
      <c r="I18" s="32"/>
      <c r="J18" s="32"/>
      <c r="K18" s="32"/>
    </row>
    <row r="19" spans="1:11" ht="15">
      <c r="A19" s="13">
        <v>2031</v>
      </c>
      <c r="B19" s="14"/>
      <c r="C19" s="14"/>
      <c r="D19" s="50">
        <f>'2. ASTRA Tegevustulud ja -kulud'!R12-'2. ASTRA Tegevustulud ja -kulud'!R34</f>
        <v>44.3</v>
      </c>
      <c r="E19" s="27">
        <f>'1. ASTRA Investeerimiskulud'!R14-'1. ASTRA Investeerimiskulud'!R27</f>
        <v>0</v>
      </c>
      <c r="F19" s="15">
        <f t="shared" si="0"/>
        <v>44.3</v>
      </c>
      <c r="G19" s="32"/>
      <c r="H19" s="32"/>
      <c r="I19" s="32"/>
      <c r="J19" s="32"/>
      <c r="K19" s="32"/>
    </row>
    <row r="20" spans="1:11" ht="15">
      <c r="A20" s="13">
        <v>2032</v>
      </c>
      <c r="B20" s="14"/>
      <c r="C20" s="14"/>
      <c r="D20" s="50">
        <f>'2. ASTRA Tegevustulud ja -kulud'!S12-'2. ASTRA Tegevustulud ja -kulud'!S34</f>
        <v>44.3</v>
      </c>
      <c r="E20" s="27">
        <f>'1. ASTRA Investeerimiskulud'!S14-'1. ASTRA Investeerimiskulud'!S27</f>
        <v>0</v>
      </c>
      <c r="F20" s="15">
        <f t="shared" si="0"/>
        <v>44.3</v>
      </c>
      <c r="G20" s="32"/>
      <c r="H20" s="32"/>
      <c r="I20" s="32"/>
      <c r="J20" s="32"/>
      <c r="K20" s="32"/>
    </row>
    <row r="21" spans="1:11" ht="15">
      <c r="A21" s="13">
        <v>2033</v>
      </c>
      <c r="B21" s="14"/>
      <c r="C21" s="14"/>
      <c r="D21" s="50">
        <f>'2. ASTRA Tegevustulud ja -kulud'!T12-'2. ASTRA Tegevustulud ja -kulud'!T34</f>
        <v>44.3</v>
      </c>
      <c r="E21" s="27">
        <f>'1. ASTRA Investeerimiskulud'!T14-'1. ASTRA Investeerimiskulud'!T27</f>
        <v>0</v>
      </c>
      <c r="F21" s="15">
        <f t="shared" si="0"/>
        <v>44.3</v>
      </c>
      <c r="G21" s="32"/>
      <c r="H21" s="32"/>
      <c r="I21" s="32"/>
      <c r="J21" s="32"/>
      <c r="K21" s="32"/>
    </row>
    <row r="22" spans="1:11" ht="15">
      <c r="A22" s="13">
        <v>2034</v>
      </c>
      <c r="B22" s="14"/>
      <c r="C22" s="14"/>
      <c r="D22" s="50">
        <f>'2. ASTRA Tegevustulud ja -kulud'!U12-'2. ASTRA Tegevustulud ja -kulud'!U34</f>
        <v>44.3</v>
      </c>
      <c r="E22" s="27">
        <f>'1. ASTRA Investeerimiskulud'!U14-'1. ASTRA Investeerimiskulud'!U27</f>
        <v>0</v>
      </c>
      <c r="F22" s="15">
        <f t="shared" si="0"/>
        <v>44.3</v>
      </c>
      <c r="G22" s="32"/>
      <c r="H22" s="32"/>
      <c r="I22" s="32"/>
      <c r="J22" s="32"/>
      <c r="K22" s="32"/>
    </row>
    <row r="23" spans="1:11" ht="15">
      <c r="A23" s="13">
        <v>2035</v>
      </c>
      <c r="B23" s="14"/>
      <c r="C23" s="14"/>
      <c r="D23" s="50">
        <f>'2. ASTRA Tegevustulud ja -kulud'!V12-'2. ASTRA Tegevustulud ja -kulud'!V34</f>
        <v>45.80000000000001</v>
      </c>
      <c r="E23" s="27">
        <f>'1. ASTRA Investeerimiskulud'!V14-'1. ASTRA Investeerimiskulud'!V27</f>
        <v>0</v>
      </c>
      <c r="F23" s="15">
        <f t="shared" si="0"/>
        <v>45.80000000000001</v>
      </c>
      <c r="G23" s="32"/>
      <c r="H23" s="32"/>
      <c r="I23" s="32"/>
      <c r="J23" s="32"/>
      <c r="K23" s="32"/>
    </row>
    <row r="24" spans="1:11" ht="15">
      <c r="A24" s="13">
        <v>2036</v>
      </c>
      <c r="B24" s="14"/>
      <c r="C24" s="14"/>
      <c r="D24" s="50">
        <f>'2. ASTRA Tegevustulud ja -kulud'!W12-'2. ASTRA Tegevustulud ja -kulud'!W34</f>
        <v>45.80000000000001</v>
      </c>
      <c r="E24" s="27">
        <f>'1. ASTRA Investeerimiskulud'!W14-'1. ASTRA Investeerimiskulud'!W27</f>
        <v>0</v>
      </c>
      <c r="F24" s="15">
        <f t="shared" si="0"/>
        <v>45.80000000000001</v>
      </c>
      <c r="G24" s="32"/>
      <c r="H24" s="32"/>
      <c r="I24" s="32"/>
      <c r="J24" s="32"/>
      <c r="K24" s="32"/>
    </row>
    <row r="25" spans="1:11" ht="15">
      <c r="A25" s="13">
        <v>2037</v>
      </c>
      <c r="B25" s="14"/>
      <c r="C25" s="14"/>
      <c r="D25" s="50">
        <f>'2. ASTRA Tegevustulud ja -kulud'!X12-'2. ASTRA Tegevustulud ja -kulud'!X34</f>
        <v>45.80000000000001</v>
      </c>
      <c r="E25" s="27">
        <f>'1. ASTRA Investeerimiskulud'!X14-'1. ASTRA Investeerimiskulud'!X27</f>
        <v>0</v>
      </c>
      <c r="F25" s="15">
        <f t="shared" si="0"/>
        <v>45.80000000000001</v>
      </c>
      <c r="G25" s="32"/>
      <c r="H25" s="32"/>
      <c r="I25" s="32"/>
      <c r="J25" s="32"/>
      <c r="K25" s="32"/>
    </row>
    <row r="26" spans="1:11" ht="15">
      <c r="A26" s="13">
        <v>2038</v>
      </c>
      <c r="B26" s="14"/>
      <c r="C26" s="14"/>
      <c r="D26" s="50">
        <f>'2. ASTRA Tegevustulud ja -kulud'!Y12-'2. ASTRA Tegevustulud ja -kulud'!Y34</f>
        <v>45.80000000000001</v>
      </c>
      <c r="E26" s="27">
        <f>'1. ASTRA Investeerimiskulud'!Y14-'1. ASTRA Investeerimiskulud'!Y27</f>
        <v>0</v>
      </c>
      <c r="F26" s="15">
        <f t="shared" si="0"/>
        <v>45.80000000000001</v>
      </c>
      <c r="G26" s="32"/>
      <c r="H26" s="32"/>
      <c r="I26" s="32"/>
      <c r="J26" s="32"/>
      <c r="K26" s="32"/>
    </row>
    <row r="27" spans="1:11" ht="15">
      <c r="A27" s="13">
        <v>2039</v>
      </c>
      <c r="B27" s="14"/>
      <c r="C27" s="14"/>
      <c r="D27" s="50">
        <f>'2. ASTRA Tegevustulud ja -kulud'!Z12-'2. ASTRA Tegevustulud ja -kulud'!Z34</f>
        <v>46.30000000000001</v>
      </c>
      <c r="E27" s="27">
        <f>'1. ASTRA Investeerimiskulud'!Z14-'1. ASTRA Investeerimiskulud'!Z27</f>
        <v>0</v>
      </c>
      <c r="F27" s="15">
        <f t="shared" si="0"/>
        <v>46.30000000000001</v>
      </c>
      <c r="G27" s="32"/>
      <c r="H27" s="32"/>
      <c r="I27" s="32"/>
      <c r="J27" s="32"/>
      <c r="K27" s="32"/>
    </row>
    <row r="28" spans="1:11" ht="15">
      <c r="A28" s="13">
        <v>2040</v>
      </c>
      <c r="B28" s="14"/>
      <c r="C28" s="14"/>
      <c r="D28" s="27">
        <f>'2. ASTRA Tegevustulud ja -kulud'!AA12-'2. ASTRA Tegevustulud ja -kulud'!AA34</f>
        <v>1061.1000000000004</v>
      </c>
      <c r="E28" s="27">
        <f>'1. ASTRA Investeerimiskulud'!AA14-'1. ASTRA Investeerimiskulud'!AA27</f>
        <v>0</v>
      </c>
      <c r="F28" s="15">
        <f t="shared" si="0"/>
        <v>1061.1000000000004</v>
      </c>
      <c r="G28" s="32"/>
      <c r="H28" s="32"/>
      <c r="I28" s="32"/>
      <c r="J28" s="32"/>
      <c r="K28" s="32"/>
    </row>
    <row r="29" spans="1:11" ht="15">
      <c r="A29" s="17" t="s">
        <v>7</v>
      </c>
      <c r="B29" s="16">
        <f>SUM(B4:B28)</f>
        <v>1470.3501500000002</v>
      </c>
      <c r="C29" s="16">
        <f>SUM(C4:C28)</f>
        <v>77.38685000000001</v>
      </c>
      <c r="D29" s="16">
        <f>SUM(D4:D28)</f>
        <v>1937.7</v>
      </c>
      <c r="E29" s="16">
        <f>SUM(E4:E28)</f>
        <v>0</v>
      </c>
      <c r="F29" s="16"/>
      <c r="G29" s="32"/>
      <c r="H29" s="32"/>
      <c r="I29" s="32"/>
      <c r="J29" s="32"/>
      <c r="K29" s="32"/>
    </row>
    <row r="30" spans="1:11" ht="15">
      <c r="A30" s="23" t="s">
        <v>72</v>
      </c>
      <c r="B30" s="132">
        <f>ROUND(IF(NPV($B$34,B4:B28)&lt;0,0,NPV($B$34,B4:B28)),0)</f>
        <v>1312</v>
      </c>
      <c r="C30" s="133">
        <f>ROUND(IF(NPV($B$34,C4:C28)&lt;0,0,NPV($B$34,C4:C28)),0)</f>
        <v>69</v>
      </c>
      <c r="D30" s="134">
        <f>ROUND(IF(NPV($B$34,D4:D28)&lt;0,0,NPV($B$34,D4:D28)),0)</f>
        <v>906</v>
      </c>
      <c r="E30" s="134">
        <f>ROUND(IF(NPV($B$34,E4:E28)&lt;0,0,NPV($B$34,E4:E28)),0)</f>
        <v>0</v>
      </c>
      <c r="F30" s="136">
        <f>ROUND(NPV($B$34,F4:F28),2)</f>
        <v>-475.02</v>
      </c>
      <c r="G30" s="32"/>
      <c r="H30" s="32"/>
      <c r="I30" s="32"/>
      <c r="J30" s="32"/>
      <c r="K30" s="32"/>
    </row>
    <row r="31" spans="1:11" ht="15">
      <c r="A31" s="18" t="s">
        <v>23</v>
      </c>
      <c r="B31" s="132"/>
      <c r="C31" s="133"/>
      <c r="D31" s="134"/>
      <c r="E31" s="134"/>
      <c r="F31" s="136"/>
      <c r="G31" s="32"/>
      <c r="H31" s="32"/>
      <c r="I31" s="32"/>
      <c r="J31" s="32"/>
      <c r="K31" s="32"/>
    </row>
    <row r="32" spans="1:11" ht="15">
      <c r="A32" s="32"/>
      <c r="B32" s="32"/>
      <c r="C32" s="34"/>
      <c r="D32" s="32"/>
      <c r="E32" s="32"/>
      <c r="F32" s="32"/>
      <c r="G32" s="32"/>
      <c r="H32" s="32"/>
      <c r="I32" s="32"/>
      <c r="J32" s="32"/>
      <c r="K32" s="32"/>
    </row>
    <row r="33" spans="1:11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5">
      <c r="A34" s="6" t="s">
        <v>24</v>
      </c>
      <c r="B34" s="4">
        <v>0.04</v>
      </c>
      <c r="D34" s="25" t="s">
        <v>69</v>
      </c>
      <c r="E34" s="26" t="s">
        <v>70</v>
      </c>
      <c r="F34" s="7"/>
      <c r="G34" s="32"/>
      <c r="H34" s="32"/>
      <c r="I34" s="32"/>
      <c r="J34" s="32"/>
      <c r="K34" s="32"/>
    </row>
    <row r="35" spans="1:11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2" ht="15">
      <c r="A36" s="46"/>
      <c r="B36" s="46"/>
      <c r="C36" s="46"/>
      <c r="D36" s="46"/>
      <c r="E36" s="46"/>
      <c r="F36" s="44"/>
      <c r="G36" s="44"/>
      <c r="H36" s="44"/>
      <c r="I36" s="44"/>
      <c r="J36" s="44"/>
      <c r="K36" s="44"/>
      <c r="L36" s="44"/>
    </row>
    <row r="37" spans="1:12" ht="15">
      <c r="A37" s="46"/>
      <c r="B37" s="46"/>
      <c r="C37" s="46"/>
      <c r="D37" s="46"/>
      <c r="E37" s="46"/>
      <c r="F37" s="44"/>
      <c r="G37" s="44"/>
      <c r="H37" s="44"/>
      <c r="I37" s="44"/>
      <c r="J37" s="44"/>
      <c r="K37" s="44"/>
      <c r="L37" s="44"/>
    </row>
    <row r="38" spans="1:12" ht="15">
      <c r="A38" s="46"/>
      <c r="B38" s="46"/>
      <c r="C38" s="46"/>
      <c r="D38" s="46"/>
      <c r="E38" s="46"/>
      <c r="F38" s="44"/>
      <c r="G38" s="44"/>
      <c r="H38" s="44"/>
      <c r="I38" s="44"/>
      <c r="J38" s="44"/>
      <c r="K38" s="44"/>
      <c r="L38" s="44"/>
    </row>
    <row r="39" spans="1:12" ht="15">
      <c r="A39" s="46"/>
      <c r="B39" s="46"/>
      <c r="C39" s="46"/>
      <c r="D39" s="46"/>
      <c r="E39" s="46"/>
      <c r="F39" s="44"/>
      <c r="G39" s="44"/>
      <c r="H39" s="44"/>
      <c r="I39" s="44"/>
      <c r="J39" s="44"/>
      <c r="K39" s="44"/>
      <c r="L39" s="44"/>
    </row>
    <row r="40" spans="1:12" ht="15">
      <c r="A40" s="46"/>
      <c r="B40" s="46"/>
      <c r="C40" s="46"/>
      <c r="D40" s="46"/>
      <c r="E40" s="46"/>
      <c r="F40" s="44"/>
      <c r="G40" s="44"/>
      <c r="H40" s="44"/>
      <c r="I40" s="44"/>
      <c r="J40" s="44"/>
      <c r="K40" s="44"/>
      <c r="L40" s="44"/>
    </row>
    <row r="41" spans="1:12" ht="15">
      <c r="A41" s="46"/>
      <c r="B41" s="46"/>
      <c r="C41" s="46"/>
      <c r="D41" s="46"/>
      <c r="E41" s="46"/>
      <c r="F41" s="44"/>
      <c r="G41" s="44"/>
      <c r="H41" s="44"/>
      <c r="I41" s="44"/>
      <c r="J41" s="44"/>
      <c r="K41" s="44"/>
      <c r="L41" s="44"/>
    </row>
    <row r="42" spans="1:5" ht="15">
      <c r="A42" s="29" t="s">
        <v>20</v>
      </c>
      <c r="B42" s="29"/>
      <c r="C42" s="29"/>
      <c r="D42" s="29"/>
      <c r="E42" s="29"/>
    </row>
    <row r="43" spans="1:5" ht="15">
      <c r="A43" s="29" t="s">
        <v>19</v>
      </c>
      <c r="B43" s="29"/>
      <c r="C43" s="29"/>
      <c r="D43" s="29"/>
      <c r="E43" s="29"/>
    </row>
    <row r="44" spans="1:5" ht="15">
      <c r="A44" s="32" t="s">
        <v>39</v>
      </c>
      <c r="B44" s="29"/>
      <c r="C44" s="29"/>
      <c r="D44" s="29"/>
      <c r="E44" s="29"/>
    </row>
    <row r="45" spans="1:5" ht="15">
      <c r="A45" s="32"/>
      <c r="B45" s="29"/>
      <c r="C45" s="29"/>
      <c r="D45" s="29"/>
      <c r="E45" s="29"/>
    </row>
    <row r="46" spans="1:5" ht="15">
      <c r="A46" s="29" t="s">
        <v>44</v>
      </c>
      <c r="B46" s="29"/>
      <c r="C46" s="29"/>
      <c r="D46" s="29"/>
      <c r="E46" s="29"/>
    </row>
    <row r="47" spans="1:5" ht="15">
      <c r="A47" s="29" t="s">
        <v>18</v>
      </c>
      <c r="B47" s="29"/>
      <c r="C47" s="29"/>
      <c r="D47" s="29"/>
      <c r="E47" s="29"/>
    </row>
  </sheetData>
  <sheetProtection/>
  <mergeCells count="6">
    <mergeCell ref="A2:F2"/>
    <mergeCell ref="B30:B31"/>
    <mergeCell ref="C30:C31"/>
    <mergeCell ref="D30:D31"/>
    <mergeCell ref="E30:E31"/>
    <mergeCell ref="F30:F3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6">
      <selection activeCell="M29" sqref="M28:M29"/>
    </sheetView>
  </sheetViews>
  <sheetFormatPr defaultColWidth="8.8515625" defaultRowHeight="15"/>
  <cols>
    <col min="1" max="1" width="36.421875" style="0" customWidth="1"/>
    <col min="2" max="2" width="5.00390625" style="0" bestFit="1" customWidth="1"/>
    <col min="3" max="3" width="5.421875" style="0" bestFit="1" customWidth="1"/>
    <col min="4" max="25" width="5.57421875" style="0" bestFit="1" customWidth="1"/>
    <col min="26" max="26" width="5.421875" style="0" bestFit="1" customWidth="1"/>
  </cols>
  <sheetData>
    <row r="1" spans="1:26" ht="18.75">
      <c r="A1" s="28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>
      <c r="A3" s="30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53"/>
    </row>
    <row r="4" spans="1:26" ht="15">
      <c r="A4" s="53"/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  <c r="K4" s="53">
        <v>10</v>
      </c>
      <c r="L4" s="53">
        <v>11</v>
      </c>
      <c r="M4" s="53">
        <v>12</v>
      </c>
      <c r="N4" s="53">
        <v>13</v>
      </c>
      <c r="O4" s="53">
        <v>14</v>
      </c>
      <c r="P4" s="53">
        <v>15</v>
      </c>
      <c r="Q4" s="53">
        <v>16</v>
      </c>
      <c r="R4" s="53">
        <v>17</v>
      </c>
      <c r="S4" s="53">
        <v>18</v>
      </c>
      <c r="T4" s="53">
        <v>19</v>
      </c>
      <c r="U4" s="53">
        <v>20</v>
      </c>
      <c r="V4" s="53">
        <v>21</v>
      </c>
      <c r="W4" s="53">
        <v>22</v>
      </c>
      <c r="X4" s="53">
        <v>23</v>
      </c>
      <c r="Y4" s="53">
        <v>24</v>
      </c>
      <c r="Z4" s="53">
        <v>25</v>
      </c>
    </row>
    <row r="5" spans="1:26" ht="15">
      <c r="A5" s="120" t="s">
        <v>12</v>
      </c>
      <c r="B5" s="126" t="s">
        <v>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ht="15.75" thickBot="1">
      <c r="A6" s="121"/>
      <c r="B6" s="55">
        <v>2016</v>
      </c>
      <c r="C6" s="56">
        <v>2017</v>
      </c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56">
        <v>2025</v>
      </c>
      <c r="L6" s="56">
        <v>2026</v>
      </c>
      <c r="M6" s="56">
        <v>2027</v>
      </c>
      <c r="N6" s="56">
        <v>2028</v>
      </c>
      <c r="O6" s="56">
        <v>2029</v>
      </c>
      <c r="P6" s="56">
        <v>2030</v>
      </c>
      <c r="Q6" s="56">
        <v>2031</v>
      </c>
      <c r="R6" s="56">
        <v>2032</v>
      </c>
      <c r="S6" s="56">
        <v>2033</v>
      </c>
      <c r="T6" s="56">
        <v>2034</v>
      </c>
      <c r="U6" s="56">
        <v>2035</v>
      </c>
      <c r="V6" s="56">
        <v>2036</v>
      </c>
      <c r="W6" s="56">
        <v>2037</v>
      </c>
      <c r="X6" s="56">
        <v>2038</v>
      </c>
      <c r="Y6" s="56">
        <v>2039</v>
      </c>
      <c r="Z6" s="56">
        <v>2040</v>
      </c>
    </row>
    <row r="7" spans="1:26" ht="15">
      <c r="A7" s="65" t="s">
        <v>81</v>
      </c>
      <c r="B7" s="59">
        <f>'4. ASTRA Rahastamisallikad'!C7+'4. ASTRA Rahastamisallikad'!C8</f>
        <v>5</v>
      </c>
      <c r="C7" s="72">
        <f>'4. ASTRA Rahastamisallikad'!D7+'4. ASTRA Rahastamisallikad'!D8</f>
        <v>909.474</v>
      </c>
      <c r="D7" s="72">
        <f>'4. ASTRA Rahastamisallikad'!E7+'4. ASTRA Rahastamisallikad'!E8</f>
        <v>180</v>
      </c>
      <c r="E7" s="72">
        <f>'4. ASTRA Rahastamisallikad'!F7+'4. ASTRA Rahastamisallikad'!F8</f>
        <v>250</v>
      </c>
      <c r="F7" s="72">
        <f>'4. ASTRA Rahastamisallikad'!G7+'4. ASTRA Rahastamisallikad'!G8</f>
        <v>80</v>
      </c>
      <c r="G7" s="72">
        <f>'4. ASTRA Rahastamisallikad'!H7+'4. ASTRA Rahastamisallikad'!H8</f>
        <v>65</v>
      </c>
      <c r="H7" s="72">
        <f>'4. ASTRA Rahastamisallikad'!I7+'4. ASTRA Rahastamisallikad'!I8</f>
        <v>58.263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5">
      <c r="A8" s="65" t="s">
        <v>91</v>
      </c>
      <c r="B8" s="97">
        <v>66</v>
      </c>
      <c r="C8" s="98">
        <v>82</v>
      </c>
      <c r="D8" s="98">
        <v>97</v>
      </c>
      <c r="E8" s="98">
        <v>96</v>
      </c>
      <c r="F8" s="98">
        <v>101</v>
      </c>
      <c r="G8" s="98">
        <v>100</v>
      </c>
      <c r="H8" s="98">
        <v>90</v>
      </c>
      <c r="I8" s="98">
        <v>83</v>
      </c>
      <c r="J8" s="98">
        <v>84</v>
      </c>
      <c r="K8" s="98">
        <v>91</v>
      </c>
      <c r="L8" s="98">
        <v>91</v>
      </c>
      <c r="M8" s="98">
        <v>204</v>
      </c>
      <c r="N8" s="98">
        <v>96</v>
      </c>
      <c r="O8" s="98">
        <v>95</v>
      </c>
      <c r="P8" s="98">
        <v>95</v>
      </c>
      <c r="Q8" s="98">
        <v>95</v>
      </c>
      <c r="R8" s="98">
        <v>114</v>
      </c>
      <c r="S8" s="98">
        <v>95</v>
      </c>
      <c r="T8" s="98">
        <v>98</v>
      </c>
      <c r="U8" s="98">
        <v>96</v>
      </c>
      <c r="V8" s="98">
        <v>95</v>
      </c>
      <c r="W8" s="98">
        <v>320</v>
      </c>
      <c r="X8" s="98">
        <v>96</v>
      </c>
      <c r="Y8" s="98">
        <v>96</v>
      </c>
      <c r="Z8" s="72">
        <f>93.5*27</f>
        <v>2524.5</v>
      </c>
    </row>
    <row r="9" spans="1:26" ht="15">
      <c r="A9" s="65" t="s">
        <v>82</v>
      </c>
      <c r="B9" s="87">
        <v>0</v>
      </c>
      <c r="C9" s="72">
        <f>'2. ASTRA Tegevustulud ja -kulud'!D35-'2. ASTRA Tegevustulud ja -kulud'!D17</f>
        <v>0</v>
      </c>
      <c r="D9" s="72">
        <f>'2. ASTRA Tegevustulud ja -kulud'!E35-'2. ASTRA Tegevustulud ja -kulud'!E17</f>
        <v>10</v>
      </c>
      <c r="E9" s="72">
        <f>'2. ASTRA Tegevustulud ja -kulud'!F35-'2. ASTRA Tegevustulud ja -kulud'!F17</f>
        <v>10</v>
      </c>
      <c r="F9" s="72">
        <f>'2. ASTRA Tegevustulud ja -kulud'!G35-'2. ASTRA Tegevustulud ja -kulud'!G17</f>
        <v>10</v>
      </c>
      <c r="G9" s="72">
        <f>'2. ASTRA Tegevustulud ja -kulud'!H35-'2. ASTRA Tegevustulud ja -kulud'!H17</f>
        <v>10</v>
      </c>
      <c r="H9" s="72">
        <f>'2. ASTRA Tegevustulud ja -kulud'!I35-'2. ASTRA Tegevustulud ja -kulud'!I17</f>
        <v>30</v>
      </c>
      <c r="I9" s="72">
        <f>'2. ASTRA Tegevustulud ja -kulud'!J35-'2. ASTRA Tegevustulud ja -kulud'!J17</f>
        <v>30</v>
      </c>
      <c r="J9" s="72">
        <f>'2. ASTRA Tegevustulud ja -kulud'!K35-'2. ASTRA Tegevustulud ja -kulud'!K17</f>
        <v>30</v>
      </c>
      <c r="K9" s="72">
        <f>'2. ASTRA Tegevustulud ja -kulud'!L35-'2. ASTRA Tegevustulud ja -kulud'!L17</f>
        <v>30</v>
      </c>
      <c r="L9" s="72">
        <f>'2. ASTRA Tegevustulud ja -kulud'!M35-'2. ASTRA Tegevustulud ja -kulud'!M17</f>
        <v>30</v>
      </c>
      <c r="M9" s="72">
        <f>'2. ASTRA Tegevustulud ja -kulud'!N35-'2. ASTRA Tegevustulud ja -kulud'!N17</f>
        <v>30</v>
      </c>
      <c r="N9" s="72">
        <f>'2. ASTRA Tegevustulud ja -kulud'!O35-'2. ASTRA Tegevustulud ja -kulud'!O17</f>
        <v>30</v>
      </c>
      <c r="O9" s="72">
        <f>'2. ASTRA Tegevustulud ja -kulud'!P35-'2. ASTRA Tegevustulud ja -kulud'!P17</f>
        <v>30</v>
      </c>
      <c r="P9" s="72">
        <f>'2. ASTRA Tegevustulud ja -kulud'!Q35-'2. ASTRA Tegevustulud ja -kulud'!Q17</f>
        <v>30</v>
      </c>
      <c r="Q9" s="72">
        <f>'2. ASTRA Tegevustulud ja -kulud'!R35-'2. ASTRA Tegevustulud ja -kulud'!R17</f>
        <v>30</v>
      </c>
      <c r="R9" s="72">
        <f>'2. ASTRA Tegevustulud ja -kulud'!S35-'2. ASTRA Tegevustulud ja -kulud'!S17</f>
        <v>30</v>
      </c>
      <c r="S9" s="72">
        <f>'2. ASTRA Tegevustulud ja -kulud'!T35-'2. ASTRA Tegevustulud ja -kulud'!T17</f>
        <v>30</v>
      </c>
      <c r="T9" s="72">
        <f>'2. ASTRA Tegevustulud ja -kulud'!U35-'2. ASTRA Tegevustulud ja -kulud'!U17</f>
        <v>30</v>
      </c>
      <c r="U9" s="72">
        <f>'2. ASTRA Tegevustulud ja -kulud'!V35-'2. ASTRA Tegevustulud ja -kulud'!V17</f>
        <v>30</v>
      </c>
      <c r="V9" s="72">
        <f>'2. ASTRA Tegevustulud ja -kulud'!W35-'2. ASTRA Tegevustulud ja -kulud'!W17</f>
        <v>30</v>
      </c>
      <c r="W9" s="72">
        <f>'2. ASTRA Tegevustulud ja -kulud'!X35-'2. ASTRA Tegevustulud ja -kulud'!X17</f>
        <v>30</v>
      </c>
      <c r="X9" s="72">
        <f>'2. ASTRA Tegevustulud ja -kulud'!Y35-'2. ASTRA Tegevustulud ja -kulud'!Y17</f>
        <v>30</v>
      </c>
      <c r="Y9" s="72">
        <f>'2. ASTRA Tegevustulud ja -kulud'!Z35-'2. ASTRA Tegevustulud ja -kulud'!Z17</f>
        <v>30</v>
      </c>
      <c r="Z9" s="72">
        <f>'2. ASTRA Tegevustulud ja -kulud'!AA35-'2. ASTRA Tegevustulud ja -kulud'!AA17</f>
        <v>1053</v>
      </c>
    </row>
    <row r="10" spans="1:26" ht="15">
      <c r="A10" s="65" t="s">
        <v>47</v>
      </c>
      <c r="B10" s="87">
        <f>'2. ASTRA Tegevustulud ja -kulud'!C9</f>
        <v>100</v>
      </c>
      <c r="C10" s="60">
        <f>'2. ASTRA Tegevustulud ja -kulud'!D9</f>
        <v>90</v>
      </c>
      <c r="D10" s="60">
        <f>'2. ASTRA Tegevustulud ja -kulud'!E9</f>
        <v>100</v>
      </c>
      <c r="E10" s="60">
        <f>'2. ASTRA Tegevustulud ja -kulud'!F9</f>
        <v>100</v>
      </c>
      <c r="F10" s="60">
        <f>'2. ASTRA Tegevustulud ja -kulud'!G9</f>
        <v>100</v>
      </c>
      <c r="G10" s="60">
        <f>'2. ASTRA Tegevustulud ja -kulud'!H9</f>
        <v>100</v>
      </c>
      <c r="H10" s="60">
        <f>'2. ASTRA Tegevustulud ja -kulud'!I9</f>
        <v>200</v>
      </c>
      <c r="I10" s="60">
        <f>'2. ASTRA Tegevustulud ja -kulud'!J9</f>
        <v>195</v>
      </c>
      <c r="J10" s="60">
        <f>'2. ASTRA Tegevustulud ja -kulud'!K9</f>
        <v>182</v>
      </c>
      <c r="K10" s="60">
        <f>'2. ASTRA Tegevustulud ja -kulud'!L9</f>
        <v>156</v>
      </c>
      <c r="L10" s="60">
        <f>'2. ASTRA Tegevustulud ja -kulud'!M9</f>
        <v>130</v>
      </c>
      <c r="M10" s="60">
        <f>'2. ASTRA Tegevustulud ja -kulud'!N9</f>
        <v>108</v>
      </c>
      <c r="N10" s="60">
        <f>'2. ASTRA Tegevustulud ja -kulud'!O9</f>
        <v>108</v>
      </c>
      <c r="O10" s="60">
        <f>'2. ASTRA Tegevustulud ja -kulud'!P9</f>
        <v>108</v>
      </c>
      <c r="P10" s="60">
        <f>'2. ASTRA Tegevustulud ja -kulud'!Q9</f>
        <v>114.75000000000001</v>
      </c>
      <c r="Q10" s="60">
        <f>'2. ASTRA Tegevustulud ja -kulud'!R9</f>
        <v>119.00000000000001</v>
      </c>
      <c r="R10" s="60">
        <f>'2. ASTRA Tegevustulud ja -kulud'!S9</f>
        <v>119.00000000000001</v>
      </c>
      <c r="S10" s="60">
        <f>'2. ASTRA Tegevustulud ja -kulud'!T9</f>
        <v>126.00000000000001</v>
      </c>
      <c r="T10" s="60">
        <f>'2. ASTRA Tegevustulud ja -kulud'!U9</f>
        <v>126.00000000000001</v>
      </c>
      <c r="U10" s="60">
        <f>'2. ASTRA Tegevustulud ja -kulud'!V9</f>
        <v>139.5</v>
      </c>
      <c r="V10" s="60">
        <f>'2. ASTRA Tegevustulud ja -kulud'!W9</f>
        <v>147.25</v>
      </c>
      <c r="W10" s="60">
        <f>'2. ASTRA Tegevustulud ja -kulud'!X9</f>
        <v>147.25</v>
      </c>
      <c r="X10" s="60">
        <f>'2. ASTRA Tegevustulud ja -kulud'!Y9</f>
        <v>147.25</v>
      </c>
      <c r="Y10" s="60">
        <f>'2. ASTRA Tegevustulud ja -kulud'!Z9</f>
        <v>160</v>
      </c>
      <c r="Z10" s="60">
        <f>'2. ASTRA Tegevustulud ja -kulud'!AA9</f>
        <v>4320</v>
      </c>
    </row>
    <row r="11" spans="1:26" ht="15">
      <c r="A11" s="65" t="s">
        <v>100</v>
      </c>
      <c r="B11" s="67"/>
      <c r="C11" s="68"/>
      <c r="D11" s="62">
        <v>0.3</v>
      </c>
      <c r="E11" s="62">
        <v>0.3</v>
      </c>
      <c r="F11" s="62">
        <v>0.3</v>
      </c>
      <c r="G11" s="62">
        <v>0.3</v>
      </c>
      <c r="H11" s="62">
        <v>0.3</v>
      </c>
      <c r="I11" s="62">
        <v>0.3</v>
      </c>
      <c r="J11" s="62">
        <v>0.3</v>
      </c>
      <c r="K11" s="62">
        <v>0.3</v>
      </c>
      <c r="L11" s="62">
        <v>0.3</v>
      </c>
      <c r="M11" s="62">
        <v>0.3</v>
      </c>
      <c r="N11" s="62">
        <v>0.3</v>
      </c>
      <c r="O11" s="62">
        <v>0.3</v>
      </c>
      <c r="P11" s="62">
        <v>0.3</v>
      </c>
      <c r="Q11" s="62">
        <v>0.3</v>
      </c>
      <c r="R11" s="62">
        <v>0.3</v>
      </c>
      <c r="S11" s="62">
        <v>0.3</v>
      </c>
      <c r="T11" s="62">
        <v>0.3</v>
      </c>
      <c r="U11" s="62">
        <v>0.3</v>
      </c>
      <c r="V11" s="62">
        <v>0.3</v>
      </c>
      <c r="W11" s="62">
        <v>0.3</v>
      </c>
      <c r="X11" s="62">
        <v>0.3</v>
      </c>
      <c r="Y11" s="62">
        <v>0.3</v>
      </c>
      <c r="Z11" s="60">
        <f>0.3*27</f>
        <v>8.1</v>
      </c>
    </row>
    <row r="12" spans="1:26" ht="15">
      <c r="A12" s="69" t="s">
        <v>77</v>
      </c>
      <c r="B12" s="117">
        <f>SUM(B7:B11)</f>
        <v>171</v>
      </c>
      <c r="C12" s="102">
        <f>SUM(C7:C11)</f>
        <v>1081.4740000000002</v>
      </c>
      <c r="D12" s="102">
        <f aca="true" t="shared" si="0" ref="D12:Z12">SUM(D7:D11)</f>
        <v>387.3</v>
      </c>
      <c r="E12" s="102">
        <f t="shared" si="0"/>
        <v>456.3</v>
      </c>
      <c r="F12" s="102">
        <f t="shared" si="0"/>
        <v>291.3</v>
      </c>
      <c r="G12" s="102">
        <f t="shared" si="0"/>
        <v>275.3</v>
      </c>
      <c r="H12" s="102">
        <f t="shared" si="0"/>
        <v>378.56300000000005</v>
      </c>
      <c r="I12" s="102">
        <f t="shared" si="0"/>
        <v>308.3</v>
      </c>
      <c r="J12" s="102">
        <f t="shared" si="0"/>
        <v>296.3</v>
      </c>
      <c r="K12" s="102">
        <f t="shared" si="0"/>
        <v>277.3</v>
      </c>
      <c r="L12" s="102">
        <f t="shared" si="0"/>
        <v>251.3</v>
      </c>
      <c r="M12" s="102">
        <f t="shared" si="0"/>
        <v>342.3</v>
      </c>
      <c r="N12" s="102">
        <f t="shared" si="0"/>
        <v>234.3</v>
      </c>
      <c r="O12" s="102">
        <f t="shared" si="0"/>
        <v>233.3</v>
      </c>
      <c r="P12" s="102">
        <f t="shared" si="0"/>
        <v>240.05</v>
      </c>
      <c r="Q12" s="102">
        <f t="shared" si="0"/>
        <v>244.3</v>
      </c>
      <c r="R12" s="102">
        <f t="shared" si="0"/>
        <v>263.3</v>
      </c>
      <c r="S12" s="102">
        <f t="shared" si="0"/>
        <v>251.3</v>
      </c>
      <c r="T12" s="102">
        <f t="shared" si="0"/>
        <v>254.3</v>
      </c>
      <c r="U12" s="102">
        <f t="shared" si="0"/>
        <v>265.8</v>
      </c>
      <c r="V12" s="102">
        <f t="shared" si="0"/>
        <v>272.55</v>
      </c>
      <c r="W12" s="102">
        <f t="shared" si="0"/>
        <v>497.55</v>
      </c>
      <c r="X12" s="102">
        <f t="shared" si="0"/>
        <v>273.55</v>
      </c>
      <c r="Y12" s="102">
        <f t="shared" si="0"/>
        <v>286.3</v>
      </c>
      <c r="Z12" s="102">
        <f t="shared" si="0"/>
        <v>7905.6</v>
      </c>
    </row>
    <row r="13" spans="1:26" ht="15">
      <c r="A13" s="65" t="s">
        <v>75</v>
      </c>
      <c r="B13" s="87">
        <f>'1. ASTRA Investeerimiskulud'!C10</f>
        <v>5</v>
      </c>
      <c r="C13" s="60">
        <f>'1. ASTRA Investeerimiskulud'!D10</f>
        <v>909.474</v>
      </c>
      <c r="D13" s="60">
        <f>'1. ASTRA Investeerimiskulud'!E10</f>
        <v>180</v>
      </c>
      <c r="E13" s="60">
        <f>'1. ASTRA Investeerimiskulud'!F10</f>
        <v>250</v>
      </c>
      <c r="F13" s="60">
        <f>'1. ASTRA Investeerimiskulud'!G10</f>
        <v>80</v>
      </c>
      <c r="G13" s="60">
        <f>'1. ASTRA Investeerimiskulud'!H10</f>
        <v>65</v>
      </c>
      <c r="H13" s="60">
        <f>'1. ASTRA Investeerimiskulud'!I10</f>
        <v>58.263</v>
      </c>
      <c r="I13" s="60">
        <f>'1. ASTRA Investeerimiskulud'!J10</f>
        <v>0</v>
      </c>
      <c r="J13" s="60">
        <f>'1. ASTRA Investeerimiskulud'!K10</f>
        <v>0</v>
      </c>
      <c r="K13" s="60">
        <f>'1. ASTRA Investeerimiskulud'!L10</f>
        <v>0</v>
      </c>
      <c r="L13" s="60">
        <f>'1. ASTRA Investeerimiskulud'!M10</f>
        <v>0</v>
      </c>
      <c r="M13" s="60">
        <f>'1. ASTRA Investeerimiskulud'!N10</f>
        <v>0</v>
      </c>
      <c r="N13" s="60">
        <f>'1. ASTRA Investeerimiskulud'!O10</f>
        <v>0</v>
      </c>
      <c r="O13" s="60">
        <f>'1. ASTRA Investeerimiskulud'!P10</f>
        <v>0</v>
      </c>
      <c r="P13" s="60">
        <f>'1. ASTRA Investeerimiskulud'!Q10</f>
        <v>0</v>
      </c>
      <c r="Q13" s="60">
        <f>'1. ASTRA Investeerimiskulud'!R10</f>
        <v>0</v>
      </c>
      <c r="R13" s="60">
        <f>'1. ASTRA Investeerimiskulud'!S10</f>
        <v>0</v>
      </c>
      <c r="S13" s="60">
        <f>'1. ASTRA Investeerimiskulud'!T10</f>
        <v>0</v>
      </c>
      <c r="T13" s="60">
        <f>'1. ASTRA Investeerimiskulud'!U10</f>
        <v>0</v>
      </c>
      <c r="U13" s="60">
        <f>'1. ASTRA Investeerimiskulud'!V10</f>
        <v>0</v>
      </c>
      <c r="V13" s="60">
        <f>'1. ASTRA Investeerimiskulud'!W10</f>
        <v>0</v>
      </c>
      <c r="W13" s="60">
        <f>'1. ASTRA Investeerimiskulud'!X10</f>
        <v>0</v>
      </c>
      <c r="X13" s="60">
        <f>'1. ASTRA Investeerimiskulud'!Y10</f>
        <v>0</v>
      </c>
      <c r="Y13" s="60">
        <f>'1. ASTRA Investeerimiskulud'!Z10</f>
        <v>0</v>
      </c>
      <c r="Z13" s="60">
        <f>'1. ASTRA Investeerimiskulud'!AA10</f>
        <v>0</v>
      </c>
    </row>
    <row r="14" spans="1:26" ht="15">
      <c r="A14" s="65" t="s">
        <v>76</v>
      </c>
      <c r="B14" s="87">
        <f>SUM('1. ASTRA Investeerimiskulud'!C11:C13)</f>
        <v>0</v>
      </c>
      <c r="C14" s="60">
        <f>SUM('1. ASTRA Investeerimiskulud'!D11:D13)</f>
        <v>0</v>
      </c>
      <c r="D14" s="60">
        <f>SUM('1. ASTRA Investeerimiskulud'!E11:E13)</f>
        <v>0</v>
      </c>
      <c r="E14" s="60">
        <f>SUM('1. ASTRA Investeerimiskulud'!F11:F13)</f>
        <v>0</v>
      </c>
      <c r="F14" s="60">
        <f>SUM('1. ASTRA Investeerimiskulud'!G11:G13)</f>
        <v>2</v>
      </c>
      <c r="G14" s="60">
        <f>SUM('1. ASTRA Investeerimiskulud'!H11:H13)</f>
        <v>0</v>
      </c>
      <c r="H14" s="60">
        <f>SUM('1. ASTRA Investeerimiskulud'!I11:I13)</f>
        <v>10</v>
      </c>
      <c r="I14" s="60">
        <f>SUM('1. ASTRA Investeerimiskulud'!J11:J13)</f>
        <v>0</v>
      </c>
      <c r="J14" s="60">
        <f>SUM('1. ASTRA Investeerimiskulud'!K11:K13)</f>
        <v>0</v>
      </c>
      <c r="K14" s="60">
        <f>SUM('1. ASTRA Investeerimiskulud'!L11:L13)</f>
        <v>3</v>
      </c>
      <c r="L14" s="60">
        <f>SUM('1. ASTRA Investeerimiskulud'!M11:M13)</f>
        <v>0</v>
      </c>
      <c r="M14" s="60">
        <f>SUM('1. ASTRA Investeerimiskulud'!N11:N13)</f>
        <v>110</v>
      </c>
      <c r="N14" s="60">
        <f>SUM('1. ASTRA Investeerimiskulud'!O11:O13)</f>
        <v>3</v>
      </c>
      <c r="O14" s="60">
        <f>SUM('1. ASTRA Investeerimiskulud'!P11:P13)</f>
        <v>0</v>
      </c>
      <c r="P14" s="60">
        <f>SUM('1. ASTRA Investeerimiskulud'!Q11:Q13)</f>
        <v>0</v>
      </c>
      <c r="Q14" s="60">
        <f>SUM('1. ASTRA Investeerimiskulud'!R11:R13)</f>
        <v>3</v>
      </c>
      <c r="R14" s="60">
        <f>SUM('1. ASTRA Investeerimiskulud'!S11:S13)</f>
        <v>20</v>
      </c>
      <c r="S14" s="60">
        <f>SUM('1. ASTRA Investeerimiskulud'!T11:T13)</f>
        <v>0</v>
      </c>
      <c r="T14" s="60">
        <f>SUM('1. ASTRA Investeerimiskulud'!U11:U13)</f>
        <v>5</v>
      </c>
      <c r="U14" s="60">
        <f>SUM('1. ASTRA Investeerimiskulud'!V11:V13)</f>
        <v>0</v>
      </c>
      <c r="V14" s="60">
        <f>SUM('1. ASTRA Investeerimiskulud'!W11:W13)</f>
        <v>0</v>
      </c>
      <c r="W14" s="60">
        <f>SUM('1. ASTRA Investeerimiskulud'!X11:X13)</f>
        <v>225</v>
      </c>
      <c r="X14" s="60">
        <f>SUM('1. ASTRA Investeerimiskulud'!Y11:Y13)</f>
        <v>0</v>
      </c>
      <c r="Y14" s="60">
        <f>SUM('1. ASTRA Investeerimiskulud'!Z11:Z13)</f>
        <v>0</v>
      </c>
      <c r="Z14" s="60">
        <f>SUM('1. ASTRA Investeerimiskulud'!AA11:AA13)</f>
        <v>445</v>
      </c>
    </row>
    <row r="15" spans="1:26" ht="15">
      <c r="A15" s="65" t="s">
        <v>48</v>
      </c>
      <c r="B15" s="87">
        <f>'2. ASTRA Tegevustulud ja -kulud'!C13</f>
        <v>0</v>
      </c>
      <c r="C15" s="60">
        <f>'2. ASTRA Tegevustulud ja -kulud'!D13</f>
        <v>10</v>
      </c>
      <c r="D15" s="60">
        <f>'2. ASTRA Tegevustulud ja -kulud'!E13</f>
        <v>24</v>
      </c>
      <c r="E15" s="60">
        <f>'2. ASTRA Tegevustulud ja -kulud'!F13</f>
        <v>24</v>
      </c>
      <c r="F15" s="60">
        <f>'2. ASTRA Tegevustulud ja -kulud'!G13</f>
        <v>25.2</v>
      </c>
      <c r="G15" s="60">
        <f>'2. ASTRA Tegevustulud ja -kulud'!H13</f>
        <v>25.2</v>
      </c>
      <c r="H15" s="60">
        <f>'2. ASTRA Tegevustulud ja -kulud'!I13</f>
        <v>26.4</v>
      </c>
      <c r="I15" s="60">
        <f>'2. ASTRA Tegevustulud ja -kulud'!J13</f>
        <v>26.4</v>
      </c>
      <c r="J15" s="60">
        <f>'2. ASTRA Tegevustulud ja -kulud'!K13</f>
        <v>27.3</v>
      </c>
      <c r="K15" s="60">
        <f>'2. ASTRA Tegevustulud ja -kulud'!L13</f>
        <v>27.3</v>
      </c>
      <c r="L15" s="60">
        <f>'2. ASTRA Tegevustulud ja -kulud'!M13</f>
        <v>27.3</v>
      </c>
      <c r="M15" s="60">
        <f>'2. ASTRA Tegevustulud ja -kulud'!N13</f>
        <v>28</v>
      </c>
      <c r="N15" s="60">
        <f>'2. ASTRA Tegevustulud ja -kulud'!O13</f>
        <v>28</v>
      </c>
      <c r="O15" s="60">
        <f>'2. ASTRA Tegevustulud ja -kulud'!P13</f>
        <v>28</v>
      </c>
      <c r="P15" s="60">
        <f>'2. ASTRA Tegevustulud ja -kulud'!Q13</f>
        <v>28</v>
      </c>
      <c r="Q15" s="60">
        <f>'2. ASTRA Tegevustulud ja -kulud'!R13</f>
        <v>29</v>
      </c>
      <c r="R15" s="60">
        <f>'2. ASTRA Tegevustulud ja -kulud'!S13</f>
        <v>29</v>
      </c>
      <c r="S15" s="60">
        <f>'2. ASTRA Tegevustulud ja -kulud'!T13</f>
        <v>29</v>
      </c>
      <c r="T15" s="60">
        <f>'2. ASTRA Tegevustulud ja -kulud'!U13</f>
        <v>29</v>
      </c>
      <c r="U15" s="60">
        <f>'2. ASTRA Tegevustulud ja -kulud'!V13</f>
        <v>32</v>
      </c>
      <c r="V15" s="60">
        <f>'2. ASTRA Tegevustulud ja -kulud'!W13</f>
        <v>32</v>
      </c>
      <c r="W15" s="60">
        <f>'2. ASTRA Tegevustulud ja -kulud'!X13</f>
        <v>32</v>
      </c>
      <c r="X15" s="60">
        <f>'2. ASTRA Tegevustulud ja -kulud'!Y13</f>
        <v>32</v>
      </c>
      <c r="Y15" s="60">
        <f>'2. ASTRA Tegevustulud ja -kulud'!Z13</f>
        <v>32</v>
      </c>
      <c r="Z15" s="60">
        <f>'2. ASTRA Tegevustulud ja -kulud'!AA13</f>
        <v>864</v>
      </c>
    </row>
    <row r="16" spans="1:26" ht="15">
      <c r="A16" s="65" t="s">
        <v>49</v>
      </c>
      <c r="B16" s="87">
        <f>'2. ASTRA Tegevustulud ja -kulud'!C14</f>
        <v>0</v>
      </c>
      <c r="C16" s="60">
        <f>'2. ASTRA Tegevustulud ja -kulud'!D14</f>
        <v>2.4</v>
      </c>
      <c r="D16" s="60">
        <f>'2. ASTRA Tegevustulud ja -kulud'!E14</f>
        <v>9.6</v>
      </c>
      <c r="E16" s="60">
        <f>'2. ASTRA Tegevustulud ja -kulud'!F14</f>
        <v>9.6</v>
      </c>
      <c r="F16" s="60">
        <f>'2. ASTRA Tegevustulud ja -kulud'!G14</f>
        <v>9.6</v>
      </c>
      <c r="G16" s="60">
        <f>'2. ASTRA Tegevustulud ja -kulud'!H14</f>
        <v>10.5</v>
      </c>
      <c r="H16" s="60">
        <f>'2. ASTRA Tegevustulud ja -kulud'!I14</f>
        <v>10.5</v>
      </c>
      <c r="I16" s="60">
        <f>'2. ASTRA Tegevustulud ja -kulud'!J14</f>
        <v>10.5</v>
      </c>
      <c r="J16" s="60">
        <f>'2. ASTRA Tegevustulud ja -kulud'!K14</f>
        <v>10.5</v>
      </c>
      <c r="K16" s="60">
        <f>'2. ASTRA Tegevustulud ja -kulud'!L14</f>
        <v>11.2</v>
      </c>
      <c r="L16" s="60">
        <f>'2. ASTRA Tegevustulud ja -kulud'!M14</f>
        <v>11.2</v>
      </c>
      <c r="M16" s="60">
        <f>'2. ASTRA Tegevustulud ja -kulud'!N14</f>
        <v>11.2</v>
      </c>
      <c r="N16" s="60">
        <f>'2. ASTRA Tegevustulud ja -kulud'!O14</f>
        <v>11.2</v>
      </c>
      <c r="O16" s="60">
        <f>'2. ASTRA Tegevustulud ja -kulud'!P14</f>
        <v>11.7</v>
      </c>
      <c r="P16" s="60">
        <f>'2. ASTRA Tegevustulud ja -kulud'!Q14</f>
        <v>11.7</v>
      </c>
      <c r="Q16" s="60">
        <f>'2. ASTRA Tegevustulud ja -kulud'!R14</f>
        <v>11.7</v>
      </c>
      <c r="R16" s="60">
        <f>'2. ASTRA Tegevustulud ja -kulud'!S14</f>
        <v>11.7</v>
      </c>
      <c r="S16" s="60">
        <f>'2. ASTRA Tegevustulud ja -kulud'!T14</f>
        <v>12.2</v>
      </c>
      <c r="T16" s="60">
        <f>'2. ASTRA Tegevustulud ja -kulud'!U14</f>
        <v>12.2</v>
      </c>
      <c r="U16" s="60">
        <f>'2. ASTRA Tegevustulud ja -kulud'!V14</f>
        <v>12.2</v>
      </c>
      <c r="V16" s="60">
        <f>'2. ASTRA Tegevustulud ja -kulud'!W14</f>
        <v>12.2</v>
      </c>
      <c r="W16" s="60">
        <f>'2. ASTRA Tegevustulud ja -kulud'!X14</f>
        <v>12.85</v>
      </c>
      <c r="X16" s="60">
        <f>'2. ASTRA Tegevustulud ja -kulud'!Y14</f>
        <v>12.85</v>
      </c>
      <c r="Y16" s="60">
        <f>'2. ASTRA Tegevustulud ja -kulud'!Z14</f>
        <v>12.85</v>
      </c>
      <c r="Z16" s="60">
        <f>'2. ASTRA Tegevustulud ja -kulud'!AA14</f>
        <v>346.95</v>
      </c>
    </row>
    <row r="17" spans="1:26" ht="15">
      <c r="A17" s="65" t="s">
        <v>105</v>
      </c>
      <c r="B17" s="87">
        <f>'2. ASTRA Tegevustulud ja -kulud'!C15</f>
        <v>0</v>
      </c>
      <c r="C17" s="60">
        <f>'2. ASTRA Tegevustulud ja -kulud'!D15</f>
        <v>4.5</v>
      </c>
      <c r="D17" s="60">
        <f>'2. ASTRA Tegevustulud ja -kulud'!E15</f>
        <v>18</v>
      </c>
      <c r="E17" s="60">
        <f>'2. ASTRA Tegevustulud ja -kulud'!F15</f>
        <v>18</v>
      </c>
      <c r="F17" s="60">
        <f>'2. ASTRA Tegevustulud ja -kulud'!G15</f>
        <v>18.5</v>
      </c>
      <c r="G17" s="60">
        <f>'2. ASTRA Tegevustulud ja -kulud'!H15</f>
        <v>18.5</v>
      </c>
      <c r="H17" s="60">
        <f>'2. ASTRA Tegevustulud ja -kulud'!I15</f>
        <v>18.5</v>
      </c>
      <c r="I17" s="60">
        <f>'2. ASTRA Tegevustulud ja -kulud'!J15</f>
        <v>19</v>
      </c>
      <c r="J17" s="60">
        <f>'2. ASTRA Tegevustulud ja -kulud'!K15</f>
        <v>19</v>
      </c>
      <c r="K17" s="60">
        <f>'2. ASTRA Tegevustulud ja -kulud'!L15</f>
        <v>19</v>
      </c>
      <c r="L17" s="60">
        <f>'2. ASTRA Tegevustulud ja -kulud'!M15</f>
        <v>19.2</v>
      </c>
      <c r="M17" s="60">
        <f>'2. ASTRA Tegevustulud ja -kulud'!N15</f>
        <v>19.2</v>
      </c>
      <c r="N17" s="60">
        <f>'2. ASTRA Tegevustulud ja -kulud'!O15</f>
        <v>19.2</v>
      </c>
      <c r="O17" s="60">
        <f>'2. ASTRA Tegevustulud ja -kulud'!P15</f>
        <v>19.3</v>
      </c>
      <c r="P17" s="60">
        <f>'2. ASTRA Tegevustulud ja -kulud'!Q15</f>
        <v>19.3</v>
      </c>
      <c r="Q17" s="60">
        <f>'2. ASTRA Tegevustulud ja -kulud'!R15</f>
        <v>19.3</v>
      </c>
      <c r="R17" s="60">
        <f>'2. ASTRA Tegevustulud ja -kulud'!S15</f>
        <v>19.3</v>
      </c>
      <c r="S17" s="60">
        <f>'2. ASTRA Tegevustulud ja -kulud'!T15</f>
        <v>19.4</v>
      </c>
      <c r="T17" s="60">
        <f>'2. ASTRA Tegevustulud ja -kulud'!U15</f>
        <v>19.4</v>
      </c>
      <c r="U17" s="60">
        <f>'2. ASTRA Tegevustulud ja -kulud'!V15</f>
        <v>19.4</v>
      </c>
      <c r="V17" s="60">
        <f>'2. ASTRA Tegevustulud ja -kulud'!W15</f>
        <v>19.4</v>
      </c>
      <c r="W17" s="60">
        <f>'2. ASTRA Tegevustulud ja -kulud'!X15</f>
        <v>20</v>
      </c>
      <c r="X17" s="60">
        <f>'2. ASTRA Tegevustulud ja -kulud'!Y15</f>
        <v>20</v>
      </c>
      <c r="Y17" s="60">
        <f>'2. ASTRA Tegevustulud ja -kulud'!Z15</f>
        <v>20</v>
      </c>
      <c r="Z17" s="60">
        <f>'2. ASTRA Tegevustulud ja -kulud'!AA15</f>
        <v>540</v>
      </c>
    </row>
    <row r="18" spans="1:28" ht="15">
      <c r="A18" s="65" t="s">
        <v>62</v>
      </c>
      <c r="B18" s="87">
        <f>'2. ASTRA Tegevustulud ja -kulud'!C16</f>
        <v>0</v>
      </c>
      <c r="C18" s="60">
        <f>'2. ASTRA Tegevustulud ja -kulud'!D16</f>
        <v>0</v>
      </c>
      <c r="D18" s="60">
        <f>'2. ASTRA Tegevustulud ja -kulud'!E16</f>
        <v>0</v>
      </c>
      <c r="E18" s="60">
        <f>'2. ASTRA Tegevustulud ja -kulud'!F16</f>
        <v>0</v>
      </c>
      <c r="F18" s="60">
        <f>'2. ASTRA Tegevustulud ja -kulud'!G16</f>
        <v>0</v>
      </c>
      <c r="G18" s="60">
        <f>'2. ASTRA Tegevustulud ja -kulud'!H16</f>
        <v>0</v>
      </c>
      <c r="H18" s="60">
        <f>'2. ASTRA Tegevustulud ja -kulud'!I16</f>
        <v>16</v>
      </c>
      <c r="I18" s="60">
        <f>'2. ASTRA Tegevustulud ja -kulud'!J16</f>
        <v>16</v>
      </c>
      <c r="J18" s="60">
        <f>'2. ASTRA Tegevustulud ja -kulud'!K16</f>
        <v>16</v>
      </c>
      <c r="K18" s="60">
        <f>'2. ASTRA Tegevustulud ja -kulud'!L16</f>
        <v>16</v>
      </c>
      <c r="L18" s="60">
        <f>'2. ASTRA Tegevustulud ja -kulud'!M16</f>
        <v>16</v>
      </c>
      <c r="M18" s="60">
        <f>'2. ASTRA Tegevustulud ja -kulud'!N16</f>
        <v>16</v>
      </c>
      <c r="N18" s="60">
        <f>'2. ASTRA Tegevustulud ja -kulud'!O16</f>
        <v>16</v>
      </c>
      <c r="O18" s="60">
        <f>'2. ASTRA Tegevustulud ja -kulud'!P16</f>
        <v>16</v>
      </c>
      <c r="P18" s="60">
        <f>'2. ASTRA Tegevustulud ja -kulud'!Q16</f>
        <v>16</v>
      </c>
      <c r="Q18" s="60">
        <f>'2. ASTRA Tegevustulud ja -kulud'!R16</f>
        <v>16</v>
      </c>
      <c r="R18" s="60">
        <f>'2. ASTRA Tegevustulud ja -kulud'!S16</f>
        <v>16</v>
      </c>
      <c r="S18" s="60">
        <f>'2. ASTRA Tegevustulud ja -kulud'!T16</f>
        <v>16</v>
      </c>
      <c r="T18" s="60">
        <f>'2. ASTRA Tegevustulud ja -kulud'!U16</f>
        <v>16</v>
      </c>
      <c r="U18" s="60">
        <f>'2. ASTRA Tegevustulud ja -kulud'!V16</f>
        <v>16</v>
      </c>
      <c r="V18" s="60">
        <f>'2. ASTRA Tegevustulud ja -kulud'!W16</f>
        <v>16</v>
      </c>
      <c r="W18" s="60">
        <f>'2. ASTRA Tegevustulud ja -kulud'!X16</f>
        <v>16</v>
      </c>
      <c r="X18" s="60">
        <f>'2. ASTRA Tegevustulud ja -kulud'!Y16</f>
        <v>16</v>
      </c>
      <c r="Y18" s="60">
        <f>'2. ASTRA Tegevustulud ja -kulud'!Z16</f>
        <v>16</v>
      </c>
      <c r="Z18" s="60">
        <f>'2. ASTRA Tegevustulud ja -kulud'!AA16</f>
        <v>432</v>
      </c>
      <c r="AB18" s="9"/>
    </row>
    <row r="19" spans="1:28" ht="15">
      <c r="A19" s="65" t="s">
        <v>50</v>
      </c>
      <c r="B19" s="87">
        <f>'2. ASTRA Tegevustulud ja -kulud'!C17</f>
        <v>75</v>
      </c>
      <c r="C19" s="60">
        <f>'2. ASTRA Tegevustulud ja -kulud'!D17</f>
        <v>75</v>
      </c>
      <c r="D19" s="60">
        <f>'2. ASTRA Tegevustulud ja -kulud'!E17</f>
        <v>65</v>
      </c>
      <c r="E19" s="60">
        <f>'2. ASTRA Tegevustulud ja -kulud'!F17</f>
        <v>65</v>
      </c>
      <c r="F19" s="60">
        <f>'2. ASTRA Tegevustulud ja -kulud'!G17</f>
        <v>65</v>
      </c>
      <c r="G19" s="60">
        <f>'2. ASTRA Tegevustulud ja -kulud'!H17</f>
        <v>65</v>
      </c>
      <c r="H19" s="60">
        <f>'2. ASTRA Tegevustulud ja -kulud'!I17</f>
        <v>60</v>
      </c>
      <c r="I19" s="60">
        <f>'2. ASTRA Tegevustulud ja -kulud'!J17</f>
        <v>60</v>
      </c>
      <c r="J19" s="60">
        <f>'2. ASTRA Tegevustulud ja -kulud'!K17</f>
        <v>60</v>
      </c>
      <c r="K19" s="60">
        <f>'2. ASTRA Tegevustulud ja -kulud'!L17</f>
        <v>60</v>
      </c>
      <c r="L19" s="60">
        <f>'2. ASTRA Tegevustulud ja -kulud'!M17</f>
        <v>60</v>
      </c>
      <c r="M19" s="60">
        <f>'2. ASTRA Tegevustulud ja -kulud'!N17</f>
        <v>60</v>
      </c>
      <c r="N19" s="60">
        <f>'2. ASTRA Tegevustulud ja -kulud'!O17</f>
        <v>60</v>
      </c>
      <c r="O19" s="60">
        <f>'2. ASTRA Tegevustulud ja -kulud'!P17</f>
        <v>60</v>
      </c>
      <c r="P19" s="60">
        <f>'2. ASTRA Tegevustulud ja -kulud'!Q17</f>
        <v>60</v>
      </c>
      <c r="Q19" s="60">
        <f>'2. ASTRA Tegevustulud ja -kulud'!R17</f>
        <v>60</v>
      </c>
      <c r="R19" s="60">
        <f>'2. ASTRA Tegevustulud ja -kulud'!S17</f>
        <v>60</v>
      </c>
      <c r="S19" s="60">
        <f>'2. ASTRA Tegevustulud ja -kulud'!T17</f>
        <v>60</v>
      </c>
      <c r="T19" s="60">
        <f>'2. ASTRA Tegevustulud ja -kulud'!U17</f>
        <v>60</v>
      </c>
      <c r="U19" s="60">
        <f>'2. ASTRA Tegevustulud ja -kulud'!V17</f>
        <v>60</v>
      </c>
      <c r="V19" s="60">
        <f>'2. ASTRA Tegevustulud ja -kulud'!W17</f>
        <v>60</v>
      </c>
      <c r="W19" s="60">
        <f>'2. ASTRA Tegevustulud ja -kulud'!X17</f>
        <v>60</v>
      </c>
      <c r="X19" s="60">
        <f>'2. ASTRA Tegevustulud ja -kulud'!Y17</f>
        <v>60</v>
      </c>
      <c r="Y19" s="60">
        <f>'2. ASTRA Tegevustulud ja -kulud'!Z17</f>
        <v>60</v>
      </c>
      <c r="Z19" s="60">
        <f>'2. ASTRA Tegevustulud ja -kulud'!AA17</f>
        <v>1377</v>
      </c>
      <c r="AB19" s="9"/>
    </row>
    <row r="20" spans="1:26" ht="15">
      <c r="A20" s="65" t="s">
        <v>99</v>
      </c>
      <c r="B20" s="87"/>
      <c r="C20" s="60"/>
      <c r="D20" s="62">
        <v>0.3</v>
      </c>
      <c r="E20" s="62">
        <v>0.3</v>
      </c>
      <c r="F20" s="62">
        <v>0.3</v>
      </c>
      <c r="G20" s="62">
        <v>0.3</v>
      </c>
      <c r="H20" s="62">
        <v>0.3</v>
      </c>
      <c r="I20" s="62">
        <v>0.3</v>
      </c>
      <c r="J20" s="62">
        <v>0.3</v>
      </c>
      <c r="K20" s="62">
        <v>0.3</v>
      </c>
      <c r="L20" s="62">
        <v>0.3</v>
      </c>
      <c r="M20" s="62">
        <v>0.3</v>
      </c>
      <c r="N20" s="62">
        <v>0.3</v>
      </c>
      <c r="O20" s="62">
        <v>0.3</v>
      </c>
      <c r="P20" s="62">
        <v>0.3</v>
      </c>
      <c r="Q20" s="62">
        <v>0.3</v>
      </c>
      <c r="R20" s="62">
        <v>0.3</v>
      </c>
      <c r="S20" s="62">
        <v>0.3</v>
      </c>
      <c r="T20" s="62">
        <v>0.3</v>
      </c>
      <c r="U20" s="62">
        <v>0.3</v>
      </c>
      <c r="V20" s="62">
        <v>0.3</v>
      </c>
      <c r="W20" s="62">
        <v>0.3</v>
      </c>
      <c r="X20" s="62">
        <v>0.3</v>
      </c>
      <c r="Y20" s="62">
        <v>0.3</v>
      </c>
      <c r="Z20" s="60">
        <f>0.3*27</f>
        <v>8.1</v>
      </c>
    </row>
    <row r="21" spans="1:26" ht="15">
      <c r="A21" s="65" t="s">
        <v>101</v>
      </c>
      <c r="B21" s="87">
        <f>'2. ASTRA Tegevustulud ja -kulud'!C19</f>
        <v>60</v>
      </c>
      <c r="C21" s="60">
        <f>'2. ASTRA Tegevustulud ja -kulud'!D19</f>
        <v>54</v>
      </c>
      <c r="D21" s="60">
        <f>'2. ASTRA Tegevustulud ja -kulud'!E19</f>
        <v>60</v>
      </c>
      <c r="E21" s="60">
        <f>'2. ASTRA Tegevustulud ja -kulud'!F19</f>
        <v>60</v>
      </c>
      <c r="F21" s="60">
        <f>'2. ASTRA Tegevustulud ja -kulud'!G19</f>
        <v>60</v>
      </c>
      <c r="G21" s="60">
        <f>'2. ASTRA Tegevustulud ja -kulud'!H19</f>
        <v>60</v>
      </c>
      <c r="H21" s="60">
        <f>'2. ASTRA Tegevustulud ja -kulud'!I19</f>
        <v>120</v>
      </c>
      <c r="I21" s="60">
        <f>'2. ASTRA Tegevustulud ja -kulud'!J19</f>
        <v>117</v>
      </c>
      <c r="J21" s="60">
        <f>'2. ASTRA Tegevustulud ja -kulud'!K19</f>
        <v>109.2</v>
      </c>
      <c r="K21" s="60">
        <f>'2. ASTRA Tegevustulud ja -kulud'!L19</f>
        <v>93.6</v>
      </c>
      <c r="L21" s="60">
        <f>'2. ASTRA Tegevustulud ja -kulud'!M19</f>
        <v>78</v>
      </c>
      <c r="M21" s="60">
        <f>'2. ASTRA Tegevustulud ja -kulud'!N19</f>
        <v>64.8</v>
      </c>
      <c r="N21" s="60">
        <f>'2. ASTRA Tegevustulud ja -kulud'!O19</f>
        <v>64.8</v>
      </c>
      <c r="O21" s="60">
        <f>'2. ASTRA Tegevustulud ja -kulud'!P19</f>
        <v>64.8</v>
      </c>
      <c r="P21" s="60">
        <f>'2. ASTRA Tegevustulud ja -kulud'!Q19</f>
        <v>68.85000000000001</v>
      </c>
      <c r="Q21" s="60">
        <f>'2. ASTRA Tegevustulud ja -kulud'!R19</f>
        <v>71.4</v>
      </c>
      <c r="R21" s="60">
        <f>'2. ASTRA Tegevustulud ja -kulud'!S19</f>
        <v>71.4</v>
      </c>
      <c r="S21" s="60">
        <f>'2. ASTRA Tegevustulud ja -kulud'!T19</f>
        <v>75.60000000000001</v>
      </c>
      <c r="T21" s="60">
        <f>'2. ASTRA Tegevustulud ja -kulud'!U19</f>
        <v>75.60000000000001</v>
      </c>
      <c r="U21" s="60">
        <f>'2. ASTRA Tegevustulud ja -kulud'!V19</f>
        <v>83.7</v>
      </c>
      <c r="V21" s="60">
        <f>'2. ASTRA Tegevustulud ja -kulud'!W19</f>
        <v>88.35</v>
      </c>
      <c r="W21" s="60">
        <f>'2. ASTRA Tegevustulud ja -kulud'!X19</f>
        <v>88.35</v>
      </c>
      <c r="X21" s="60">
        <f>'2. ASTRA Tegevustulud ja -kulud'!Y19</f>
        <v>88.35</v>
      </c>
      <c r="Y21" s="60">
        <f>'2. ASTRA Tegevustulud ja -kulud'!Z19</f>
        <v>96</v>
      </c>
      <c r="Z21" s="60">
        <f>'2. ASTRA Tegevustulud ja -kulud'!AA19</f>
        <v>2592</v>
      </c>
    </row>
    <row r="22" spans="1:26" ht="15">
      <c r="A22" s="65" t="s">
        <v>102</v>
      </c>
      <c r="B22" s="87">
        <f>'2. ASTRA Tegevustulud ja -kulud'!C20</f>
        <v>15</v>
      </c>
      <c r="C22" s="60">
        <f>'2. ASTRA Tegevustulud ja -kulud'!D20</f>
        <v>13.5</v>
      </c>
      <c r="D22" s="60">
        <f>'2. ASTRA Tegevustulud ja -kulud'!E20</f>
        <v>15</v>
      </c>
      <c r="E22" s="60">
        <f>'2. ASTRA Tegevustulud ja -kulud'!F20</f>
        <v>15</v>
      </c>
      <c r="F22" s="60">
        <f>'2. ASTRA Tegevustulud ja -kulud'!G20</f>
        <v>15</v>
      </c>
      <c r="G22" s="60">
        <f>'2. ASTRA Tegevustulud ja -kulud'!H20</f>
        <v>15</v>
      </c>
      <c r="H22" s="60">
        <f>'2. ASTRA Tegevustulud ja -kulud'!I20</f>
        <v>30</v>
      </c>
      <c r="I22" s="60">
        <f>'2. ASTRA Tegevustulud ja -kulud'!J20</f>
        <v>29.25</v>
      </c>
      <c r="J22" s="60">
        <f>'2. ASTRA Tegevustulud ja -kulud'!K20</f>
        <v>27.3</v>
      </c>
      <c r="K22" s="60">
        <f>'2. ASTRA Tegevustulud ja -kulud'!L20</f>
        <v>23.4</v>
      </c>
      <c r="L22" s="60">
        <f>'2. ASTRA Tegevustulud ja -kulud'!M20</f>
        <v>19.5</v>
      </c>
      <c r="M22" s="60">
        <f>'2. ASTRA Tegevustulud ja -kulud'!N20</f>
        <v>16.2</v>
      </c>
      <c r="N22" s="60">
        <f>'2. ASTRA Tegevustulud ja -kulud'!O20</f>
        <v>16.2</v>
      </c>
      <c r="O22" s="60">
        <f>'2. ASTRA Tegevustulud ja -kulud'!P20</f>
        <v>16.2</v>
      </c>
      <c r="P22" s="60">
        <f>'2. ASTRA Tegevustulud ja -kulud'!Q20</f>
        <v>17.212500000000002</v>
      </c>
      <c r="Q22" s="60">
        <f>'2. ASTRA Tegevustulud ja -kulud'!R20</f>
        <v>17.85</v>
      </c>
      <c r="R22" s="60">
        <f>'2. ASTRA Tegevustulud ja -kulud'!S20</f>
        <v>17.85</v>
      </c>
      <c r="S22" s="60">
        <f>'2. ASTRA Tegevustulud ja -kulud'!T20</f>
        <v>18.900000000000002</v>
      </c>
      <c r="T22" s="60">
        <f>'2. ASTRA Tegevustulud ja -kulud'!U20</f>
        <v>18.900000000000002</v>
      </c>
      <c r="U22" s="60">
        <f>'2. ASTRA Tegevustulud ja -kulud'!V20</f>
        <v>20.925</v>
      </c>
      <c r="V22" s="60">
        <f>'2. ASTRA Tegevustulud ja -kulud'!W20</f>
        <v>22.0875</v>
      </c>
      <c r="W22" s="60">
        <f>'2. ASTRA Tegevustulud ja -kulud'!X20</f>
        <v>22.0875</v>
      </c>
      <c r="X22" s="60">
        <f>'2. ASTRA Tegevustulud ja -kulud'!Y20</f>
        <v>22.0875</v>
      </c>
      <c r="Y22" s="60">
        <f>'2. ASTRA Tegevustulud ja -kulud'!Z20</f>
        <v>24</v>
      </c>
      <c r="Z22" s="60">
        <f>'2. ASTRA Tegevustulud ja -kulud'!AA20</f>
        <v>648</v>
      </c>
    </row>
    <row r="23" spans="1:26" ht="15">
      <c r="A23" s="65" t="s">
        <v>103</v>
      </c>
      <c r="B23" s="87">
        <f>'2. ASTRA Tegevustulud ja -kulud'!C21</f>
        <v>10</v>
      </c>
      <c r="C23" s="60">
        <f>'2. ASTRA Tegevustulud ja -kulud'!D21</f>
        <v>9</v>
      </c>
      <c r="D23" s="60">
        <f>'2. ASTRA Tegevustulud ja -kulud'!E21</f>
        <v>10</v>
      </c>
      <c r="E23" s="60">
        <f>'2. ASTRA Tegevustulud ja -kulud'!F21</f>
        <v>10</v>
      </c>
      <c r="F23" s="60">
        <f>'2. ASTRA Tegevustulud ja -kulud'!G21</f>
        <v>10</v>
      </c>
      <c r="G23" s="60">
        <f>'2. ASTRA Tegevustulud ja -kulud'!H21</f>
        <v>10</v>
      </c>
      <c r="H23" s="60">
        <f>'2. ASTRA Tegevustulud ja -kulud'!I21</f>
        <v>20</v>
      </c>
      <c r="I23" s="60">
        <f>'2. ASTRA Tegevustulud ja -kulud'!J21</f>
        <v>19.5</v>
      </c>
      <c r="J23" s="60">
        <f>'2. ASTRA Tegevustulud ja -kulud'!K21</f>
        <v>18.2</v>
      </c>
      <c r="K23" s="60">
        <f>'2. ASTRA Tegevustulud ja -kulud'!L21</f>
        <v>15.600000000000001</v>
      </c>
      <c r="L23" s="60">
        <f>'2. ASTRA Tegevustulud ja -kulud'!M21</f>
        <v>13</v>
      </c>
      <c r="M23" s="60">
        <f>'2. ASTRA Tegevustulud ja -kulud'!N21</f>
        <v>10.8</v>
      </c>
      <c r="N23" s="60">
        <f>'2. ASTRA Tegevustulud ja -kulud'!O21</f>
        <v>10.8</v>
      </c>
      <c r="O23" s="60">
        <f>'2. ASTRA Tegevustulud ja -kulud'!P21</f>
        <v>10.8</v>
      </c>
      <c r="P23" s="60">
        <f>'2. ASTRA Tegevustulud ja -kulud'!Q21</f>
        <v>11.475000000000001</v>
      </c>
      <c r="Q23" s="60">
        <f>'2. ASTRA Tegevustulud ja -kulud'!R21</f>
        <v>11.900000000000002</v>
      </c>
      <c r="R23" s="60">
        <f>'2. ASTRA Tegevustulud ja -kulud'!S21</f>
        <v>11.900000000000002</v>
      </c>
      <c r="S23" s="60">
        <f>'2. ASTRA Tegevustulud ja -kulud'!T21</f>
        <v>12.600000000000001</v>
      </c>
      <c r="T23" s="60">
        <f>'2. ASTRA Tegevustulud ja -kulud'!U21</f>
        <v>12.600000000000001</v>
      </c>
      <c r="U23" s="60">
        <f>'2. ASTRA Tegevustulud ja -kulud'!V21</f>
        <v>13.950000000000001</v>
      </c>
      <c r="V23" s="60">
        <f>'2. ASTRA Tegevustulud ja -kulud'!W21</f>
        <v>14.725000000000001</v>
      </c>
      <c r="W23" s="60">
        <f>'2. ASTRA Tegevustulud ja -kulud'!X21</f>
        <v>14.725000000000001</v>
      </c>
      <c r="X23" s="60">
        <f>'2. ASTRA Tegevustulud ja -kulud'!Y21</f>
        <v>14.725000000000001</v>
      </c>
      <c r="Y23" s="60">
        <f>'2. ASTRA Tegevustulud ja -kulud'!Z21</f>
        <v>16</v>
      </c>
      <c r="Z23" s="60">
        <f>'2. ASTRA Tegevustulud ja -kulud'!AA21</f>
        <v>432</v>
      </c>
    </row>
    <row r="24" spans="1:26" ht="15">
      <c r="A24" s="65" t="s">
        <v>104</v>
      </c>
      <c r="B24" s="87">
        <f>'2. ASTRA Tegevustulud ja -kulud'!C22</f>
        <v>5</v>
      </c>
      <c r="C24" s="60">
        <f>'2. ASTRA Tegevustulud ja -kulud'!D22</f>
        <v>4.5</v>
      </c>
      <c r="D24" s="60">
        <f>'2. ASTRA Tegevustulud ja -kulud'!E22</f>
        <v>5</v>
      </c>
      <c r="E24" s="60">
        <f>'2. ASTRA Tegevustulud ja -kulud'!F22</f>
        <v>5</v>
      </c>
      <c r="F24" s="60">
        <f>'2. ASTRA Tegevustulud ja -kulud'!G22</f>
        <v>5</v>
      </c>
      <c r="G24" s="60">
        <f>'2. ASTRA Tegevustulud ja -kulud'!H22</f>
        <v>5</v>
      </c>
      <c r="H24" s="60">
        <f>'2. ASTRA Tegevustulud ja -kulud'!I22</f>
        <v>10</v>
      </c>
      <c r="I24" s="60">
        <f>'2. ASTRA Tegevustulud ja -kulud'!J22</f>
        <v>9.75</v>
      </c>
      <c r="J24" s="60">
        <f>'2. ASTRA Tegevustulud ja -kulud'!K22</f>
        <v>9.1</v>
      </c>
      <c r="K24" s="60">
        <f>'2. ASTRA Tegevustulud ja -kulud'!L22</f>
        <v>7.800000000000001</v>
      </c>
      <c r="L24" s="60">
        <f>'2. ASTRA Tegevustulud ja -kulud'!M22</f>
        <v>6.5</v>
      </c>
      <c r="M24" s="60">
        <f>'2. ASTRA Tegevustulud ja -kulud'!N22</f>
        <v>5.4</v>
      </c>
      <c r="N24" s="60">
        <f>'2. ASTRA Tegevustulud ja -kulud'!O22</f>
        <v>5.4</v>
      </c>
      <c r="O24" s="60">
        <f>'2. ASTRA Tegevustulud ja -kulud'!P22</f>
        <v>5.4</v>
      </c>
      <c r="P24" s="60">
        <f>'2. ASTRA Tegevustulud ja -kulud'!Q22</f>
        <v>5.737500000000001</v>
      </c>
      <c r="Q24" s="60">
        <f>'2. ASTRA Tegevustulud ja -kulud'!R22</f>
        <v>5.950000000000001</v>
      </c>
      <c r="R24" s="60">
        <f>'2. ASTRA Tegevustulud ja -kulud'!S22</f>
        <v>5.950000000000001</v>
      </c>
      <c r="S24" s="60">
        <f>'2. ASTRA Tegevustulud ja -kulud'!T22</f>
        <v>6.300000000000001</v>
      </c>
      <c r="T24" s="60">
        <f>'2. ASTRA Tegevustulud ja -kulud'!U22</f>
        <v>6.300000000000001</v>
      </c>
      <c r="U24" s="60">
        <f>'2. ASTRA Tegevustulud ja -kulud'!V22</f>
        <v>6.9750000000000005</v>
      </c>
      <c r="V24" s="60">
        <f>'2. ASTRA Tegevustulud ja -kulud'!W22</f>
        <v>7.362500000000001</v>
      </c>
      <c r="W24" s="60">
        <f>'2. ASTRA Tegevustulud ja -kulud'!X22</f>
        <v>7.362500000000001</v>
      </c>
      <c r="X24" s="60">
        <f>'2. ASTRA Tegevustulud ja -kulud'!Y22</f>
        <v>7.362500000000001</v>
      </c>
      <c r="Y24" s="60">
        <f>'2. ASTRA Tegevustulud ja -kulud'!Z22</f>
        <v>8</v>
      </c>
      <c r="Z24" s="60">
        <f>'2. ASTRA Tegevustulud ja -kulud'!AA22</f>
        <v>216</v>
      </c>
    </row>
    <row r="25" spans="1:26" ht="15">
      <c r="A25" s="69" t="s">
        <v>78</v>
      </c>
      <c r="B25" s="117">
        <f>SUM(B13:B24)</f>
        <v>170</v>
      </c>
      <c r="C25" s="102">
        <f>SUM(C13:C24)</f>
        <v>1082.374</v>
      </c>
      <c r="D25" s="102">
        <f aca="true" t="shared" si="1" ref="D25:Z25">SUM(D13:D24)</f>
        <v>386.90000000000003</v>
      </c>
      <c r="E25" s="102">
        <f t="shared" si="1"/>
        <v>456.90000000000003</v>
      </c>
      <c r="F25" s="102">
        <f t="shared" si="1"/>
        <v>290.6</v>
      </c>
      <c r="G25" s="102">
        <f t="shared" si="1"/>
        <v>274.5</v>
      </c>
      <c r="H25" s="102">
        <f t="shared" si="1"/>
        <v>379.963</v>
      </c>
      <c r="I25" s="102">
        <f t="shared" si="1"/>
        <v>307.70000000000005</v>
      </c>
      <c r="J25" s="102">
        <f t="shared" si="1"/>
        <v>296.90000000000003</v>
      </c>
      <c r="K25" s="102">
        <f t="shared" si="1"/>
        <v>277.20000000000005</v>
      </c>
      <c r="L25" s="102">
        <f t="shared" si="1"/>
        <v>251</v>
      </c>
      <c r="M25" s="102">
        <f t="shared" si="1"/>
        <v>341.9</v>
      </c>
      <c r="N25" s="102">
        <f t="shared" si="1"/>
        <v>234.9</v>
      </c>
      <c r="O25" s="102">
        <f t="shared" si="1"/>
        <v>232.50000000000003</v>
      </c>
      <c r="P25" s="102">
        <f t="shared" si="1"/>
        <v>238.57500000000005</v>
      </c>
      <c r="Q25" s="102">
        <f t="shared" si="1"/>
        <v>246.4</v>
      </c>
      <c r="R25" s="102">
        <f t="shared" si="1"/>
        <v>263.4</v>
      </c>
      <c r="S25" s="102">
        <f t="shared" si="1"/>
        <v>250.3</v>
      </c>
      <c r="T25" s="102">
        <f t="shared" si="1"/>
        <v>255.3</v>
      </c>
      <c r="U25" s="102">
        <f t="shared" si="1"/>
        <v>265.45000000000005</v>
      </c>
      <c r="V25" s="102">
        <f t="shared" si="1"/>
        <v>272.425</v>
      </c>
      <c r="W25" s="102">
        <f t="shared" si="1"/>
        <v>498.675</v>
      </c>
      <c r="X25" s="102">
        <f t="shared" si="1"/>
        <v>273.675</v>
      </c>
      <c r="Y25" s="102">
        <f t="shared" si="1"/>
        <v>285.15</v>
      </c>
      <c r="Z25" s="102">
        <f t="shared" si="1"/>
        <v>7901.049999999999</v>
      </c>
    </row>
    <row r="26" spans="1:26" ht="15">
      <c r="A26" s="69" t="s">
        <v>79</v>
      </c>
      <c r="B26" s="117">
        <f aca="true" t="shared" si="2" ref="B26:Z26">B12-B25</f>
        <v>1</v>
      </c>
      <c r="C26" s="118">
        <f t="shared" si="2"/>
        <v>-0.8999999999998636</v>
      </c>
      <c r="D26" s="118">
        <f t="shared" si="2"/>
        <v>0.39999999999997726</v>
      </c>
      <c r="E26" s="118">
        <f t="shared" si="2"/>
        <v>-0.6000000000000227</v>
      </c>
      <c r="F26" s="118">
        <f t="shared" si="2"/>
        <v>0.6999999999999886</v>
      </c>
      <c r="G26" s="118">
        <f t="shared" si="2"/>
        <v>0.8000000000000114</v>
      </c>
      <c r="H26" s="118">
        <f t="shared" si="2"/>
        <v>-1.3999999999999773</v>
      </c>
      <c r="I26" s="118">
        <f t="shared" si="2"/>
        <v>0.5999999999999659</v>
      </c>
      <c r="J26" s="118">
        <f t="shared" si="2"/>
        <v>-0.6000000000000227</v>
      </c>
      <c r="K26" s="118">
        <f t="shared" si="2"/>
        <v>0.0999999999999659</v>
      </c>
      <c r="L26" s="118">
        <f t="shared" si="2"/>
        <v>0.30000000000001137</v>
      </c>
      <c r="M26" s="118">
        <f t="shared" si="2"/>
        <v>0.4000000000000341</v>
      </c>
      <c r="N26" s="118">
        <f t="shared" si="2"/>
        <v>-0.5999999999999943</v>
      </c>
      <c r="O26" s="118">
        <f t="shared" si="2"/>
        <v>0.799999999999983</v>
      </c>
      <c r="P26" s="118">
        <f t="shared" si="2"/>
        <v>1.474999999999966</v>
      </c>
      <c r="Q26" s="118">
        <f t="shared" si="2"/>
        <v>-2.0999999999999943</v>
      </c>
      <c r="R26" s="118">
        <f t="shared" si="2"/>
        <v>-0.0999999999999659</v>
      </c>
      <c r="S26" s="118">
        <f t="shared" si="2"/>
        <v>1</v>
      </c>
      <c r="T26" s="118">
        <f t="shared" si="2"/>
        <v>-1</v>
      </c>
      <c r="U26" s="118">
        <f t="shared" si="2"/>
        <v>0.3499999999999659</v>
      </c>
      <c r="V26" s="118">
        <f t="shared" si="2"/>
        <v>0.125</v>
      </c>
      <c r="W26" s="118">
        <f t="shared" si="2"/>
        <v>-1.125</v>
      </c>
      <c r="X26" s="118">
        <f t="shared" si="2"/>
        <v>-0.125</v>
      </c>
      <c r="Y26" s="118">
        <f t="shared" si="2"/>
        <v>1.150000000000034</v>
      </c>
      <c r="Z26" s="118">
        <f t="shared" si="2"/>
        <v>4.550000000001091</v>
      </c>
    </row>
    <row r="27" spans="1:27" ht="15.75" thickBot="1">
      <c r="A27" s="80" t="s">
        <v>80</v>
      </c>
      <c r="B27" s="105">
        <f>B12-B25</f>
        <v>1</v>
      </c>
      <c r="C27" s="119">
        <f>B27+C26</f>
        <v>0.10000000000013642</v>
      </c>
      <c r="D27" s="119">
        <f>C27+D26</f>
        <v>0.5000000000001137</v>
      </c>
      <c r="E27" s="119">
        <f aca="true" t="shared" si="3" ref="E27:Z27">D27+E26</f>
        <v>-0.09999999999990905</v>
      </c>
      <c r="F27" s="119">
        <f t="shared" si="3"/>
        <v>0.6000000000000796</v>
      </c>
      <c r="G27" s="119">
        <f t="shared" si="3"/>
        <v>1.400000000000091</v>
      </c>
      <c r="H27" s="119">
        <f t="shared" si="3"/>
        <v>1.1368683772161603E-13</v>
      </c>
      <c r="I27" s="119">
        <f t="shared" si="3"/>
        <v>0.6000000000000796</v>
      </c>
      <c r="J27" s="119">
        <f t="shared" si="3"/>
        <v>5.684341886080802E-14</v>
      </c>
      <c r="K27" s="119">
        <f t="shared" si="3"/>
        <v>0.10000000000002274</v>
      </c>
      <c r="L27" s="119">
        <f t="shared" si="3"/>
        <v>0.4000000000000341</v>
      </c>
      <c r="M27" s="119">
        <f t="shared" si="3"/>
        <v>0.8000000000000682</v>
      </c>
      <c r="N27" s="119">
        <f t="shared" si="3"/>
        <v>0.2000000000000739</v>
      </c>
      <c r="O27" s="119">
        <f t="shared" si="3"/>
        <v>1.0000000000000568</v>
      </c>
      <c r="P27" s="119">
        <f t="shared" si="3"/>
        <v>2.4750000000000227</v>
      </c>
      <c r="Q27" s="119">
        <f t="shared" si="3"/>
        <v>0.3750000000000284</v>
      </c>
      <c r="R27" s="119">
        <f t="shared" si="3"/>
        <v>0.27500000000006253</v>
      </c>
      <c r="S27" s="119">
        <f t="shared" si="3"/>
        <v>1.2750000000000625</v>
      </c>
      <c r="T27" s="119">
        <f t="shared" si="3"/>
        <v>0.27500000000006253</v>
      </c>
      <c r="U27" s="119">
        <f t="shared" si="3"/>
        <v>0.6250000000000284</v>
      </c>
      <c r="V27" s="119">
        <f t="shared" si="3"/>
        <v>0.7500000000000284</v>
      </c>
      <c r="W27" s="119">
        <f t="shared" si="3"/>
        <v>-0.3749999999999716</v>
      </c>
      <c r="X27" s="119">
        <f t="shared" si="3"/>
        <v>-0.4999999999999716</v>
      </c>
      <c r="Y27" s="119">
        <f t="shared" si="3"/>
        <v>0.6500000000000625</v>
      </c>
      <c r="Z27" s="119">
        <f t="shared" si="3"/>
        <v>5.200000000001154</v>
      </c>
      <c r="AA27" s="44"/>
    </row>
    <row r="28" spans="1:27" ht="15.75" thickTop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44"/>
    </row>
    <row r="29" spans="15:28" ht="15"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5:26" ht="15"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5:26" ht="15"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5:26" ht="15"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5:26" ht="15"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5:26" ht="15"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14" ht="15">
      <c r="A35" s="29" t="s">
        <v>20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29" t="s">
        <v>19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>
      <c r="A37" s="32" t="s">
        <v>39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3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29" t="s">
        <v>45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29" t="s">
        <v>18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</sheetData>
  <sheetProtection/>
  <mergeCells count="2">
    <mergeCell ref="A5:A6"/>
    <mergeCell ref="B5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2017-04-11T07:50:11Z</dcterms:modified>
  <cp:category/>
  <cp:version/>
  <cp:contentType/>
  <cp:contentStatus/>
</cp:coreProperties>
</file>